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0" yWindow="0" windowWidth="26440" windowHeight="11500" tabRatio="734" activeTab="0"/>
  </bookViews>
  <sheets>
    <sheet name="Likviditetsbu 350 m bidrag" sheetId="1" r:id="rId1"/>
    <sheet name="Likviditetsbu 350 u bidrag" sheetId="2" r:id="rId2"/>
    <sheet name="Likviditetsbu 470 m bidrag 2015" sheetId="3" r:id="rId3"/>
    <sheet name="Likviditetsbu 470 u bidrag" sheetId="4" r:id="rId4"/>
    <sheet name="Inbetalningar medlemmar" sheetId="5" r:id="rId5"/>
    <sheet name="Blad2" sheetId="6" r:id="rId6"/>
    <sheet name="Blad3" sheetId="7" r:id="rId7"/>
  </sheets>
  <definedNames/>
  <calcPr fullCalcOnLoad="1"/>
</workbook>
</file>

<file path=xl/comments1.xml><?xml version="1.0" encoding="utf-8"?>
<comments xmlns="http://schemas.openxmlformats.org/spreadsheetml/2006/main">
  <authors>
    <author>Lars Hedeg?rd</author>
  </authors>
  <commentList>
    <comment ref="F6" authorId="0">
      <text>
        <r>
          <rPr>
            <b/>
            <sz val="9"/>
            <rFont val="Arial"/>
            <family val="0"/>
          </rPr>
          <t>Lars Hedegård:</t>
        </r>
        <r>
          <rPr>
            <sz val="9"/>
            <rFont val="Arial"/>
            <family val="0"/>
          </rPr>
          <t xml:space="preserve">
100 medlemmar betalar 2500 kr/st</t>
        </r>
      </text>
    </comment>
    <comment ref="G6" authorId="0">
      <text>
        <r>
          <rPr>
            <b/>
            <sz val="9"/>
            <rFont val="Arial"/>
            <family val="0"/>
          </rPr>
          <t>Lars Hedegård:</t>
        </r>
        <r>
          <rPr>
            <sz val="9"/>
            <rFont val="Arial"/>
            <family val="0"/>
          </rPr>
          <t xml:space="preserve">
100 medlemmar betalar 2500 kr/st</t>
        </r>
      </text>
    </comment>
    <comment ref="H6" authorId="0">
      <text>
        <r>
          <rPr>
            <b/>
            <sz val="9"/>
            <rFont val="Arial"/>
            <family val="0"/>
          </rPr>
          <t>Lars Hedegård:</t>
        </r>
        <r>
          <rPr>
            <sz val="9"/>
            <rFont val="Arial"/>
            <family val="0"/>
          </rPr>
          <t xml:space="preserve">
Lars Hedegård:
100 medlemmar betalar 2500 kr/st</t>
        </r>
      </text>
    </comment>
    <comment ref="I6" authorId="0">
      <text>
        <r>
          <rPr>
            <b/>
            <sz val="9"/>
            <rFont val="Arial"/>
            <family val="0"/>
          </rPr>
          <t>Lars Hedegård:</t>
        </r>
        <r>
          <rPr>
            <sz val="9"/>
            <rFont val="Arial"/>
            <family val="0"/>
          </rPr>
          <t xml:space="preserve">
Lars Hedegård:
50 medlemmar betalar 2500 kr/st</t>
        </r>
      </text>
    </comment>
    <comment ref="J6" authorId="0">
      <text>
        <r>
          <rPr>
            <b/>
            <sz val="9"/>
            <rFont val="Arial"/>
            <family val="0"/>
          </rPr>
          <t>Lars Hedegård:</t>
        </r>
        <r>
          <rPr>
            <sz val="9"/>
            <rFont val="Arial"/>
            <family val="0"/>
          </rPr>
          <t xml:space="preserve">
Lars Hedegård:
100 medlemmar betalar 2500 kr/st</t>
        </r>
      </text>
    </comment>
    <comment ref="N6" authorId="0">
      <text>
        <r>
          <rPr>
            <b/>
            <sz val="9"/>
            <rFont val="Arial"/>
            <family val="0"/>
          </rPr>
          <t>Lars Hedegård:</t>
        </r>
        <r>
          <rPr>
            <sz val="9"/>
            <rFont val="Arial"/>
            <family val="0"/>
          </rPr>
          <t xml:space="preserve">
200 medlemmar som betalar 5000 kr/st.</t>
        </r>
      </text>
    </comment>
    <comment ref="O6" authorId="0">
      <text>
        <r>
          <rPr>
            <b/>
            <sz val="9"/>
            <rFont val="Arial"/>
            <family val="0"/>
          </rPr>
          <t>Lars Hedegård:</t>
        </r>
        <r>
          <rPr>
            <sz val="9"/>
            <rFont val="Arial"/>
            <family val="0"/>
          </rPr>
          <t>250 medlemmar som betalar 5000 kr/st.</t>
        </r>
      </text>
    </comment>
    <comment ref="P6" authorId="0">
      <text>
        <r>
          <rPr>
            <b/>
            <sz val="9"/>
            <rFont val="Arial"/>
            <family val="0"/>
          </rPr>
          <t>Lars Hedegård:</t>
        </r>
        <r>
          <rPr>
            <sz val="9"/>
            <rFont val="Arial"/>
            <family val="0"/>
          </rPr>
          <t xml:space="preserve">
20 tillkommande medlemmar som betalar insats 1+2+3.</t>
        </r>
      </text>
    </comment>
    <comment ref="Q6" authorId="0">
      <text>
        <r>
          <rPr>
            <b/>
            <sz val="9"/>
            <rFont val="Arial"/>
            <family val="0"/>
          </rPr>
          <t>Lars Hedegård:</t>
        </r>
        <r>
          <rPr>
            <sz val="9"/>
            <rFont val="Arial"/>
            <family val="0"/>
          </rPr>
          <t xml:space="preserve">
225 medlemmar som betalar 3000 kr/st.2</t>
        </r>
      </text>
    </comment>
    <comment ref="R6" authorId="0">
      <text>
        <r>
          <rPr>
            <b/>
            <sz val="9"/>
            <rFont val="Arial"/>
            <family val="0"/>
          </rPr>
          <t>Lars Hedegård:</t>
        </r>
        <r>
          <rPr>
            <sz val="9"/>
            <rFont val="Arial"/>
            <family val="0"/>
          </rPr>
          <t xml:space="preserve">
235 medlemmar som betalar 3000 kr/st.</t>
        </r>
      </text>
    </comment>
    <comment ref="J7" authorId="0">
      <text>
        <r>
          <rPr>
            <b/>
            <sz val="9"/>
            <rFont val="Arial"/>
            <family val="0"/>
          </rPr>
          <t>Lars Hedegård:</t>
        </r>
        <r>
          <rPr>
            <sz val="9"/>
            <rFont val="Arial"/>
            <family val="0"/>
          </rPr>
          <t xml:space="preserve">
Totalt 400 medlemmar som betalar 100 kr/st</t>
        </r>
      </text>
    </comment>
    <comment ref="S8" authorId="0">
      <text>
        <r>
          <rPr>
            <b/>
            <sz val="9"/>
            <rFont val="Arial"/>
            <family val="0"/>
          </rPr>
          <t>Lars Hedegård:</t>
        </r>
        <r>
          <rPr>
            <sz val="9"/>
            <rFont val="Arial"/>
            <family val="0"/>
          </rPr>
          <t xml:space="preserve">
ca 117 medlemmar som betalar 2000 kr + moms i anslutningsavgift.</t>
        </r>
      </text>
    </comment>
    <comment ref="T8" authorId="0">
      <text>
        <r>
          <rPr>
            <b/>
            <sz val="9"/>
            <rFont val="Arial"/>
            <family val="0"/>
          </rPr>
          <t>Lars Hedegård:</t>
        </r>
        <r>
          <rPr>
            <sz val="9"/>
            <rFont val="Arial"/>
            <family val="0"/>
          </rPr>
          <t xml:space="preserve">
ca 117 medlemmar som betalar 2000 kr + moms i anslutningsavgift.</t>
        </r>
      </text>
    </comment>
    <comment ref="U8" authorId="0">
      <text>
        <r>
          <rPr>
            <b/>
            <sz val="9"/>
            <rFont val="Arial"/>
            <family val="0"/>
          </rPr>
          <t>Lars Hedegård:</t>
        </r>
        <r>
          <rPr>
            <sz val="9"/>
            <rFont val="Arial"/>
            <family val="0"/>
          </rPr>
          <t xml:space="preserve">
235 medlemmar som betalar 2000 kr + moms i anslutningsavgift.</t>
        </r>
      </text>
    </comment>
    <comment ref="H10" authorId="0">
      <text>
        <r>
          <rPr>
            <b/>
            <sz val="9"/>
            <rFont val="Arial"/>
            <family val="0"/>
          </rPr>
          <t>Lars Hedegård:</t>
        </r>
        <r>
          <rPr>
            <sz val="9"/>
            <rFont val="Arial"/>
            <family val="0"/>
          </rPr>
          <t xml:space="preserve">
Fiber till Givar/O-ringen. Betalning från Tranemo kommun. Exkl. moms</t>
        </r>
      </text>
    </comment>
    <comment ref="J10" authorId="0">
      <text>
        <r>
          <rPr>
            <b/>
            <sz val="9"/>
            <rFont val="Arial"/>
            <family val="0"/>
          </rPr>
          <t>Lars Hedegård:</t>
        </r>
        <r>
          <rPr>
            <sz val="9"/>
            <rFont val="Arial"/>
            <family val="0"/>
          </rPr>
          <t xml:space="preserve">
Förskott på kick-back från IP Only 40 kr exkl. moms per medlem och månad. 60 månader. </t>
        </r>
      </text>
    </comment>
    <comment ref="H13" authorId="0">
      <text>
        <r>
          <rPr>
            <b/>
            <sz val="9"/>
            <rFont val="Arial"/>
            <family val="0"/>
          </rPr>
          <t>Lars Hedegård:</t>
        </r>
        <r>
          <rPr>
            <sz val="9"/>
            <rFont val="Arial"/>
            <family val="0"/>
          </rPr>
          <t xml:space="preserve">
Moms på faktura för O-ringen</t>
        </r>
      </text>
    </comment>
    <comment ref="J13" authorId="0">
      <text>
        <r>
          <rPr>
            <b/>
            <sz val="9"/>
            <rFont val="Arial"/>
            <family val="0"/>
          </rPr>
          <t>Lars Hedegård:</t>
        </r>
        <r>
          <rPr>
            <sz val="9"/>
            <rFont val="Arial"/>
            <family val="0"/>
          </rPr>
          <t xml:space="preserve">
25 % på kick-back IP Only</t>
        </r>
      </text>
    </comment>
    <comment ref="I14" authorId="0">
      <text>
        <r>
          <rPr>
            <b/>
            <sz val="9"/>
            <rFont val="Arial"/>
            <family val="0"/>
          </rPr>
          <t>Lars Hedegård:</t>
        </r>
        <r>
          <rPr>
            <sz val="9"/>
            <rFont val="Arial"/>
            <family val="0"/>
          </rPr>
          <t xml:space="preserve">
Räknar med två månaders eftersläpning på momsen.</t>
        </r>
      </text>
    </comment>
    <comment ref="G17" authorId="0">
      <text>
        <r>
          <rPr>
            <b/>
            <sz val="9"/>
            <rFont val="Arial"/>
            <family val="0"/>
          </rPr>
          <t>Lars Hedegård:</t>
        </r>
        <r>
          <rPr>
            <sz val="9"/>
            <rFont val="Arial"/>
            <family val="0"/>
          </rPr>
          <t xml:space="preserve">
Givarp / O-ringen</t>
        </r>
      </text>
    </comment>
    <comment ref="C19" authorId="0">
      <text>
        <r>
          <rPr>
            <b/>
            <sz val="9"/>
            <rFont val="Arial"/>
            <family val="0"/>
          </rPr>
          <t>Lars Hedegård:</t>
        </r>
        <r>
          <rPr>
            <sz val="9"/>
            <rFont val="Arial"/>
            <family val="0"/>
          </rPr>
          <t xml:space="preserve">
Projektering</t>
        </r>
      </text>
    </comment>
    <comment ref="G19" authorId="0">
      <text>
        <r>
          <rPr>
            <b/>
            <sz val="9"/>
            <rFont val="Arial"/>
            <family val="0"/>
          </rPr>
          <t>Lars Hedegård:</t>
        </r>
        <r>
          <rPr>
            <sz val="9"/>
            <rFont val="Arial"/>
            <family val="0"/>
          </rPr>
          <t xml:space="preserve">
20 % äta på material och tjänster samt 7800 kr avgift Trafikverket</t>
        </r>
      </text>
    </comment>
    <comment ref="H19" authorId="0">
      <text>
        <r>
          <rPr>
            <b/>
            <sz val="9"/>
            <rFont val="Arial"/>
            <family val="0"/>
          </rPr>
          <t>Lars Hedegård:</t>
        </r>
        <r>
          <rPr>
            <sz val="9"/>
            <rFont val="Arial"/>
            <family val="0"/>
          </rPr>
          <t xml:space="preserve">
20 % äta på material och tjänster samt 7800 kr </t>
        </r>
      </text>
    </comment>
    <comment ref="V19" authorId="0">
      <text>
        <r>
          <rPr>
            <b/>
            <sz val="9"/>
            <rFont val="Arial"/>
            <family val="0"/>
          </rPr>
          <t>Lars Hedegård:</t>
        </r>
        <r>
          <rPr>
            <sz val="9"/>
            <rFont val="Arial"/>
            <family val="0"/>
          </rPr>
          <t xml:space="preserve">
Lantmäteriförrättning</t>
        </r>
      </text>
    </comment>
    <comment ref="F27" authorId="0">
      <text>
        <r>
          <rPr>
            <b/>
            <sz val="9"/>
            <rFont val="Arial"/>
            <family val="0"/>
          </rPr>
          <t>Lars Hedegård:</t>
        </r>
        <r>
          <rPr>
            <sz val="9"/>
            <rFont val="Arial"/>
            <family val="0"/>
          </rPr>
          <t xml:space="preserve">
Programblad LIF</t>
        </r>
      </text>
    </comment>
    <comment ref="R27" authorId="0">
      <text>
        <r>
          <rPr>
            <b/>
            <sz val="9"/>
            <rFont val="Arial"/>
            <family val="0"/>
          </rPr>
          <t>Lars Hedegård:</t>
        </r>
        <r>
          <rPr>
            <sz val="9"/>
            <rFont val="Arial"/>
            <family val="0"/>
          </rPr>
          <t xml:space="preserve">
Programblad LIF</t>
        </r>
      </text>
    </comment>
    <comment ref="B30" authorId="0">
      <text>
        <r>
          <rPr>
            <b/>
            <sz val="9"/>
            <rFont val="Arial"/>
            <family val="0"/>
          </rPr>
          <t>Lars Hedegård:</t>
        </r>
        <r>
          <rPr>
            <sz val="9"/>
            <rFont val="Arial"/>
            <family val="0"/>
          </rPr>
          <t xml:space="preserve">
Domäner *2</t>
        </r>
      </text>
    </comment>
    <comment ref="E30" authorId="0">
      <text>
        <r>
          <rPr>
            <b/>
            <sz val="9"/>
            <rFont val="Arial"/>
            <family val="0"/>
          </rPr>
          <t>Lars Hedegård:
Webbhotell</t>
        </r>
      </text>
    </comment>
    <comment ref="N30" authorId="0">
      <text>
        <r>
          <rPr>
            <b/>
            <sz val="9"/>
            <rFont val="Arial"/>
            <family val="0"/>
          </rPr>
          <t>Lars Hedegård:</t>
        </r>
        <r>
          <rPr>
            <sz val="9"/>
            <rFont val="Arial"/>
            <family val="0"/>
          </rPr>
          <t xml:space="preserve">
Domäner *2</t>
        </r>
      </text>
    </comment>
    <comment ref="Q30" authorId="0">
      <text>
        <r>
          <rPr>
            <b/>
            <sz val="9"/>
            <rFont val="Arial"/>
            <family val="0"/>
          </rPr>
          <t>Lars Hedegård:
Webbhotell</t>
        </r>
      </text>
    </comment>
    <comment ref="Z30" authorId="0">
      <text>
        <r>
          <rPr>
            <b/>
            <sz val="9"/>
            <rFont val="Arial"/>
            <family val="0"/>
          </rPr>
          <t>Lars Hedegård:</t>
        </r>
        <r>
          <rPr>
            <sz val="9"/>
            <rFont val="Arial"/>
            <family val="0"/>
          </rPr>
          <t xml:space="preserve">
Domäner *2</t>
        </r>
      </text>
    </comment>
    <comment ref="N31" authorId="0">
      <text>
        <r>
          <rPr>
            <b/>
            <sz val="9"/>
            <rFont val="Arial"/>
            <family val="0"/>
          </rPr>
          <t>Lars Hedegård:
4 kr/medlem och månad i anläggningsförsäkring</t>
        </r>
      </text>
    </comment>
    <comment ref="G38" authorId="0">
      <text>
        <r>
          <rPr>
            <b/>
            <sz val="9"/>
            <rFont val="Arial"/>
            <family val="0"/>
          </rPr>
          <t>Lars Hedegård:</t>
        </r>
        <r>
          <rPr>
            <sz val="9"/>
            <rFont val="Arial"/>
            <family val="0"/>
          </rPr>
          <t xml:space="preserve">
Tillkommande på utgifter för anläggningen.</t>
        </r>
      </text>
    </comment>
    <comment ref="H38" authorId="0">
      <text>
        <r>
          <rPr>
            <b/>
            <sz val="9"/>
            <rFont val="Arial"/>
            <family val="0"/>
          </rPr>
          <t>Lars Hedegård:</t>
        </r>
        <r>
          <rPr>
            <sz val="9"/>
            <rFont val="Arial"/>
            <family val="0"/>
          </rPr>
          <t xml:space="preserve">
Tillkommande på utgifter för anläggning</t>
        </r>
      </text>
    </comment>
    <comment ref="S38" authorId="0">
      <text>
        <r>
          <rPr>
            <b/>
            <sz val="9"/>
            <rFont val="Arial"/>
            <family val="0"/>
          </rPr>
          <t>Lars Hedegård:</t>
        </r>
        <r>
          <rPr>
            <sz val="9"/>
            <rFont val="Arial"/>
            <family val="0"/>
          </rPr>
          <t xml:space="preserve">
Tillkommande på utgifter för anläggningen.</t>
        </r>
      </text>
    </comment>
    <comment ref="T38" authorId="0">
      <text>
        <r>
          <rPr>
            <b/>
            <sz val="9"/>
            <rFont val="Arial"/>
            <family val="0"/>
          </rPr>
          <t>Lars Hedegård:</t>
        </r>
        <r>
          <rPr>
            <sz val="9"/>
            <rFont val="Arial"/>
            <family val="0"/>
          </rPr>
          <t xml:space="preserve">
Tillkommande på utgifter för anläggning</t>
        </r>
      </text>
    </comment>
  </commentList>
</comments>
</file>

<file path=xl/comments2.xml><?xml version="1.0" encoding="utf-8"?>
<comments xmlns="http://schemas.openxmlformats.org/spreadsheetml/2006/main">
  <authors>
    <author>Lars Hedeg?rd</author>
  </authors>
  <commentList>
    <comment ref="F6" authorId="0">
      <text>
        <r>
          <rPr>
            <b/>
            <sz val="9"/>
            <rFont val="Arial"/>
            <family val="0"/>
          </rPr>
          <t>Lars Hedegård:</t>
        </r>
        <r>
          <rPr>
            <sz val="9"/>
            <rFont val="Arial"/>
            <family val="0"/>
          </rPr>
          <t xml:space="preserve">
100 medlemmar betalar 2500 kr/st</t>
        </r>
      </text>
    </comment>
    <comment ref="G6" authorId="0">
      <text>
        <r>
          <rPr>
            <b/>
            <sz val="9"/>
            <rFont val="Arial"/>
            <family val="0"/>
          </rPr>
          <t>Lars Hedegård:</t>
        </r>
        <r>
          <rPr>
            <sz val="9"/>
            <rFont val="Arial"/>
            <family val="0"/>
          </rPr>
          <t xml:space="preserve">
100 medlemmar betalar 2500 kr/st</t>
        </r>
      </text>
    </comment>
    <comment ref="H6" authorId="0">
      <text>
        <r>
          <rPr>
            <b/>
            <sz val="9"/>
            <rFont val="Arial"/>
            <family val="0"/>
          </rPr>
          <t>Lars Hedegård:</t>
        </r>
        <r>
          <rPr>
            <sz val="9"/>
            <rFont val="Arial"/>
            <family val="0"/>
          </rPr>
          <t xml:space="preserve">
Lars Hedegård:
100 medlemmar betalar 2500 kr/st</t>
        </r>
      </text>
    </comment>
    <comment ref="I6" authorId="0">
      <text>
        <r>
          <rPr>
            <b/>
            <sz val="9"/>
            <rFont val="Arial"/>
            <family val="0"/>
          </rPr>
          <t>Lars Hedegård:</t>
        </r>
        <r>
          <rPr>
            <sz val="9"/>
            <rFont val="Arial"/>
            <family val="0"/>
          </rPr>
          <t xml:space="preserve">
Lars Hedegård:
50 medlemmar betalar 2500 kr/st</t>
        </r>
      </text>
    </comment>
    <comment ref="J6" authorId="0">
      <text>
        <r>
          <rPr>
            <b/>
            <sz val="9"/>
            <rFont val="Arial"/>
            <family val="0"/>
          </rPr>
          <t>Lars Hedegård:</t>
        </r>
        <r>
          <rPr>
            <sz val="9"/>
            <rFont val="Arial"/>
            <family val="0"/>
          </rPr>
          <t xml:space="preserve">
Lars Hedegård:
100 medlemmar betalar 2500 kr/st</t>
        </r>
      </text>
    </comment>
    <comment ref="N6" authorId="0">
      <text>
        <r>
          <rPr>
            <b/>
            <sz val="9"/>
            <rFont val="Arial"/>
            <family val="0"/>
          </rPr>
          <t>Lars Hedegård:</t>
        </r>
        <r>
          <rPr>
            <sz val="9"/>
            <rFont val="Arial"/>
            <family val="0"/>
          </rPr>
          <t xml:space="preserve">
200 medlemmar som betalar 5000 kr/st.</t>
        </r>
      </text>
    </comment>
    <comment ref="O6" authorId="0">
      <text>
        <r>
          <rPr>
            <b/>
            <sz val="9"/>
            <rFont val="Arial"/>
            <family val="0"/>
          </rPr>
          <t>Lars Hedegård:</t>
        </r>
        <r>
          <rPr>
            <sz val="9"/>
            <rFont val="Arial"/>
            <family val="0"/>
          </rPr>
          <t>250 medlemmar som betalar 5000 kr/st.</t>
        </r>
      </text>
    </comment>
    <comment ref="P6" authorId="0">
      <text>
        <r>
          <rPr>
            <b/>
            <sz val="9"/>
            <rFont val="Arial"/>
            <family val="0"/>
          </rPr>
          <t>Lars Hedegård:</t>
        </r>
        <r>
          <rPr>
            <sz val="9"/>
            <rFont val="Arial"/>
            <family val="0"/>
          </rPr>
          <t xml:space="preserve">
20 tillkommande medlemmar som betalar insats 1+2+3.</t>
        </r>
      </text>
    </comment>
    <comment ref="Q6" authorId="0">
      <text>
        <r>
          <rPr>
            <b/>
            <sz val="9"/>
            <rFont val="Arial"/>
            <family val="0"/>
          </rPr>
          <t>Lars Hedegård:</t>
        </r>
        <r>
          <rPr>
            <sz val="9"/>
            <rFont val="Arial"/>
            <family val="0"/>
          </rPr>
          <t xml:space="preserve">
225 medlemmar som betalar 3000 kr/st.2</t>
        </r>
      </text>
    </comment>
    <comment ref="R6" authorId="0">
      <text>
        <r>
          <rPr>
            <b/>
            <sz val="9"/>
            <rFont val="Arial"/>
            <family val="0"/>
          </rPr>
          <t>Lars Hedegård:</t>
        </r>
        <r>
          <rPr>
            <sz val="9"/>
            <rFont val="Arial"/>
            <family val="0"/>
          </rPr>
          <t xml:space="preserve">
235 medlemmar som betalar 3000 kr/st.</t>
        </r>
      </text>
    </comment>
    <comment ref="J7" authorId="0">
      <text>
        <r>
          <rPr>
            <b/>
            <sz val="9"/>
            <rFont val="Arial"/>
            <family val="0"/>
          </rPr>
          <t>Lars Hedegård:</t>
        </r>
        <r>
          <rPr>
            <sz val="9"/>
            <rFont val="Arial"/>
            <family val="0"/>
          </rPr>
          <t xml:space="preserve">
Totalt 400 medlemmar som betalar 100 kr/st</t>
        </r>
      </text>
    </comment>
    <comment ref="S8" authorId="0">
      <text>
        <r>
          <rPr>
            <b/>
            <sz val="9"/>
            <rFont val="Arial"/>
            <family val="0"/>
          </rPr>
          <t>Lars Hedegård:</t>
        </r>
        <r>
          <rPr>
            <sz val="9"/>
            <rFont val="Arial"/>
            <family val="0"/>
          </rPr>
          <t xml:space="preserve">
ca 117 medlemmar som betalar 2000 kr + moms i anslutningsavgift.</t>
        </r>
      </text>
    </comment>
    <comment ref="T8" authorId="0">
      <text>
        <r>
          <rPr>
            <b/>
            <sz val="9"/>
            <rFont val="Arial"/>
            <family val="0"/>
          </rPr>
          <t>Lars Hedegård:</t>
        </r>
        <r>
          <rPr>
            <sz val="9"/>
            <rFont val="Arial"/>
            <family val="0"/>
          </rPr>
          <t xml:space="preserve">
ca 117 medlemmar som betalar 2000 kr + moms i anslutningsavgift.</t>
        </r>
      </text>
    </comment>
    <comment ref="U8" authorId="0">
      <text>
        <r>
          <rPr>
            <b/>
            <sz val="9"/>
            <rFont val="Arial"/>
            <family val="0"/>
          </rPr>
          <t>Lars Hedegård:</t>
        </r>
        <r>
          <rPr>
            <sz val="9"/>
            <rFont val="Arial"/>
            <family val="0"/>
          </rPr>
          <t xml:space="preserve">
235 medlemmar som betalar 2000 kr + moms i anslutningsavgift.</t>
        </r>
      </text>
    </comment>
    <comment ref="H10" authorId="0">
      <text>
        <r>
          <rPr>
            <b/>
            <sz val="9"/>
            <rFont val="Arial"/>
            <family val="0"/>
          </rPr>
          <t>Lars Hedegård:</t>
        </r>
        <r>
          <rPr>
            <sz val="9"/>
            <rFont val="Arial"/>
            <family val="0"/>
          </rPr>
          <t xml:space="preserve">
Fiber till Givar/O-ringen. Betalning från Tranemo kommun. Exkl. moms</t>
        </r>
      </text>
    </comment>
    <comment ref="J10" authorId="0">
      <text>
        <r>
          <rPr>
            <b/>
            <sz val="9"/>
            <rFont val="Arial"/>
            <family val="0"/>
          </rPr>
          <t>Lars Hedegård:</t>
        </r>
        <r>
          <rPr>
            <sz val="9"/>
            <rFont val="Arial"/>
            <family val="0"/>
          </rPr>
          <t xml:space="preserve">
Förskott på kick-back från IP Only 40 kr exkl. moms per medlem och månad. 60 månader. </t>
        </r>
      </text>
    </comment>
    <comment ref="H13" authorId="0">
      <text>
        <r>
          <rPr>
            <b/>
            <sz val="9"/>
            <rFont val="Arial"/>
            <family val="0"/>
          </rPr>
          <t>Lars Hedegård:</t>
        </r>
        <r>
          <rPr>
            <sz val="9"/>
            <rFont val="Arial"/>
            <family val="0"/>
          </rPr>
          <t xml:space="preserve">
Moms på faktura för O-ringen</t>
        </r>
      </text>
    </comment>
    <comment ref="J13" authorId="0">
      <text>
        <r>
          <rPr>
            <b/>
            <sz val="9"/>
            <rFont val="Arial"/>
            <family val="0"/>
          </rPr>
          <t>Lars Hedegård:</t>
        </r>
        <r>
          <rPr>
            <sz val="9"/>
            <rFont val="Arial"/>
            <family val="0"/>
          </rPr>
          <t xml:space="preserve">
25 % på kick-back IP Only</t>
        </r>
      </text>
    </comment>
    <comment ref="I14" authorId="0">
      <text>
        <r>
          <rPr>
            <b/>
            <sz val="9"/>
            <rFont val="Arial"/>
            <family val="0"/>
          </rPr>
          <t>Lars Hedegård:</t>
        </r>
        <r>
          <rPr>
            <sz val="9"/>
            <rFont val="Arial"/>
            <family val="0"/>
          </rPr>
          <t xml:space="preserve">
Räknar med två månaders eftersläpning på momsen.</t>
        </r>
      </text>
    </comment>
    <comment ref="G17" authorId="0">
      <text>
        <r>
          <rPr>
            <b/>
            <sz val="9"/>
            <rFont val="Arial"/>
            <family val="0"/>
          </rPr>
          <t>Lars Hedegård:</t>
        </r>
        <r>
          <rPr>
            <sz val="9"/>
            <rFont val="Arial"/>
            <family val="0"/>
          </rPr>
          <t xml:space="preserve">
Givarp / O-ringen</t>
        </r>
      </text>
    </comment>
    <comment ref="C19" authorId="0">
      <text>
        <r>
          <rPr>
            <b/>
            <sz val="9"/>
            <rFont val="Arial"/>
            <family val="0"/>
          </rPr>
          <t>Lars Hedegård:</t>
        </r>
        <r>
          <rPr>
            <sz val="9"/>
            <rFont val="Arial"/>
            <family val="0"/>
          </rPr>
          <t xml:space="preserve">
Projektering</t>
        </r>
      </text>
    </comment>
    <comment ref="G19" authorId="0">
      <text>
        <r>
          <rPr>
            <b/>
            <sz val="9"/>
            <rFont val="Arial"/>
            <family val="0"/>
          </rPr>
          <t>Lars Hedegård:</t>
        </r>
        <r>
          <rPr>
            <sz val="9"/>
            <rFont val="Arial"/>
            <family val="0"/>
          </rPr>
          <t xml:space="preserve">
20 % äta på material och tjänster samt 7800 kr avgift Trafikverket</t>
        </r>
      </text>
    </comment>
    <comment ref="H19" authorId="0">
      <text>
        <r>
          <rPr>
            <b/>
            <sz val="9"/>
            <rFont val="Arial"/>
            <family val="0"/>
          </rPr>
          <t>Lars Hedegård:</t>
        </r>
        <r>
          <rPr>
            <sz val="9"/>
            <rFont val="Arial"/>
            <family val="0"/>
          </rPr>
          <t xml:space="preserve">
20 % äta på material och tjänster samt 7800 kr </t>
        </r>
      </text>
    </comment>
    <comment ref="V19" authorId="0">
      <text>
        <r>
          <rPr>
            <b/>
            <sz val="9"/>
            <rFont val="Arial"/>
            <family val="0"/>
          </rPr>
          <t>Lars Hedegård:</t>
        </r>
        <r>
          <rPr>
            <sz val="9"/>
            <rFont val="Arial"/>
            <family val="0"/>
          </rPr>
          <t xml:space="preserve">
Lantmäteriförrättning</t>
        </r>
      </text>
    </comment>
    <comment ref="F27" authorId="0">
      <text>
        <r>
          <rPr>
            <b/>
            <sz val="9"/>
            <rFont val="Arial"/>
            <family val="0"/>
          </rPr>
          <t>Lars Hedegård:</t>
        </r>
        <r>
          <rPr>
            <sz val="9"/>
            <rFont val="Arial"/>
            <family val="0"/>
          </rPr>
          <t xml:space="preserve">
Programblad LIF</t>
        </r>
      </text>
    </comment>
    <comment ref="R27" authorId="0">
      <text>
        <r>
          <rPr>
            <b/>
            <sz val="9"/>
            <rFont val="Arial"/>
            <family val="0"/>
          </rPr>
          <t>Lars Hedegård:</t>
        </r>
        <r>
          <rPr>
            <sz val="9"/>
            <rFont val="Arial"/>
            <family val="0"/>
          </rPr>
          <t xml:space="preserve">
Programblad LIF</t>
        </r>
      </text>
    </comment>
    <comment ref="B30" authorId="0">
      <text>
        <r>
          <rPr>
            <b/>
            <sz val="9"/>
            <rFont val="Arial"/>
            <family val="0"/>
          </rPr>
          <t>Lars Hedegård:</t>
        </r>
        <r>
          <rPr>
            <sz val="9"/>
            <rFont val="Arial"/>
            <family val="0"/>
          </rPr>
          <t xml:space="preserve">
Domäner *2</t>
        </r>
      </text>
    </comment>
    <comment ref="E30" authorId="0">
      <text>
        <r>
          <rPr>
            <b/>
            <sz val="9"/>
            <rFont val="Arial"/>
            <family val="0"/>
          </rPr>
          <t>Lars Hedegård:
Webbhotell</t>
        </r>
      </text>
    </comment>
    <comment ref="N30" authorId="0">
      <text>
        <r>
          <rPr>
            <b/>
            <sz val="9"/>
            <rFont val="Arial"/>
            <family val="0"/>
          </rPr>
          <t>Lars Hedegård:</t>
        </r>
        <r>
          <rPr>
            <sz val="9"/>
            <rFont val="Arial"/>
            <family val="0"/>
          </rPr>
          <t xml:space="preserve">
Domäner *2</t>
        </r>
      </text>
    </comment>
    <comment ref="Q30" authorId="0">
      <text>
        <r>
          <rPr>
            <b/>
            <sz val="9"/>
            <rFont val="Arial"/>
            <family val="0"/>
          </rPr>
          <t>Lars Hedegård:
Webbhotell</t>
        </r>
      </text>
    </comment>
    <comment ref="Z30" authorId="0">
      <text>
        <r>
          <rPr>
            <b/>
            <sz val="9"/>
            <rFont val="Arial"/>
            <family val="0"/>
          </rPr>
          <t>Lars Hedegård:</t>
        </r>
        <r>
          <rPr>
            <sz val="9"/>
            <rFont val="Arial"/>
            <family val="0"/>
          </rPr>
          <t xml:space="preserve">
Domäner *2</t>
        </r>
      </text>
    </comment>
    <comment ref="N31" authorId="0">
      <text>
        <r>
          <rPr>
            <b/>
            <sz val="9"/>
            <rFont val="Arial"/>
            <family val="0"/>
          </rPr>
          <t>Lars Hedegård:
4 kr/medlem och månad i anläggningsförsäkring</t>
        </r>
      </text>
    </comment>
    <comment ref="G38" authorId="0">
      <text>
        <r>
          <rPr>
            <b/>
            <sz val="9"/>
            <rFont val="Arial"/>
            <family val="0"/>
          </rPr>
          <t>Lars Hedegård:</t>
        </r>
        <r>
          <rPr>
            <sz val="9"/>
            <rFont val="Arial"/>
            <family val="0"/>
          </rPr>
          <t xml:space="preserve">
Tillkommande på utgifter för anläggningen.</t>
        </r>
      </text>
    </comment>
    <comment ref="H38" authorId="0">
      <text>
        <r>
          <rPr>
            <b/>
            <sz val="9"/>
            <rFont val="Arial"/>
            <family val="0"/>
          </rPr>
          <t>Lars Hedegård:</t>
        </r>
        <r>
          <rPr>
            <sz val="9"/>
            <rFont val="Arial"/>
            <family val="0"/>
          </rPr>
          <t xml:space="preserve">
Tillkommande på utgifter för anläggning</t>
        </r>
      </text>
    </comment>
    <comment ref="S38" authorId="0">
      <text>
        <r>
          <rPr>
            <b/>
            <sz val="9"/>
            <rFont val="Arial"/>
            <family val="0"/>
          </rPr>
          <t>Lars Hedegård:</t>
        </r>
        <r>
          <rPr>
            <sz val="9"/>
            <rFont val="Arial"/>
            <family val="0"/>
          </rPr>
          <t xml:space="preserve">
Tillkommande på utgifter för anläggningen.</t>
        </r>
      </text>
    </comment>
    <comment ref="T38" authorId="0">
      <text>
        <r>
          <rPr>
            <b/>
            <sz val="9"/>
            <rFont val="Arial"/>
            <family val="0"/>
          </rPr>
          <t>Lars Hedegård:</t>
        </r>
        <r>
          <rPr>
            <sz val="9"/>
            <rFont val="Arial"/>
            <family val="0"/>
          </rPr>
          <t xml:space="preserve">
Tillkommande på utgifter för anläggning</t>
        </r>
      </text>
    </comment>
  </commentList>
</comments>
</file>

<file path=xl/comments3.xml><?xml version="1.0" encoding="utf-8"?>
<comments xmlns="http://schemas.openxmlformats.org/spreadsheetml/2006/main">
  <authors>
    <author>Lars Hedeg?rd</author>
  </authors>
  <commentList>
    <comment ref="H10" authorId="0">
      <text>
        <r>
          <rPr>
            <b/>
            <sz val="9"/>
            <rFont val="Arial"/>
            <family val="0"/>
          </rPr>
          <t>Lars Hedegård:</t>
        </r>
        <r>
          <rPr>
            <sz val="9"/>
            <rFont val="Arial"/>
            <family val="0"/>
          </rPr>
          <t xml:space="preserve">
Fiber till Givar/O-ringen. Betalning från Tranemo kommun. Exkl. moms</t>
        </r>
      </text>
    </comment>
    <comment ref="F27" authorId="0">
      <text>
        <r>
          <rPr>
            <b/>
            <sz val="9"/>
            <rFont val="Arial"/>
            <family val="0"/>
          </rPr>
          <t>Lars Hedegård:</t>
        </r>
        <r>
          <rPr>
            <sz val="9"/>
            <rFont val="Arial"/>
            <family val="0"/>
          </rPr>
          <t xml:space="preserve">
Programblad LIF</t>
        </r>
      </text>
    </comment>
    <comment ref="E30" authorId="0">
      <text>
        <r>
          <rPr>
            <b/>
            <sz val="9"/>
            <rFont val="Arial"/>
            <family val="0"/>
          </rPr>
          <t>Lars Hedegård:
Webbhotell</t>
        </r>
      </text>
    </comment>
    <comment ref="B30" authorId="0">
      <text>
        <r>
          <rPr>
            <b/>
            <sz val="9"/>
            <rFont val="Arial"/>
            <family val="0"/>
          </rPr>
          <t>Lars Hedegård:</t>
        </r>
        <r>
          <rPr>
            <sz val="9"/>
            <rFont val="Arial"/>
            <family val="0"/>
          </rPr>
          <t xml:space="preserve">
Domäner *2</t>
        </r>
      </text>
    </comment>
    <comment ref="H13" authorId="0">
      <text>
        <r>
          <rPr>
            <b/>
            <sz val="9"/>
            <rFont val="Arial"/>
            <family val="0"/>
          </rPr>
          <t>Lars Hedegård:</t>
        </r>
        <r>
          <rPr>
            <sz val="9"/>
            <rFont val="Arial"/>
            <family val="0"/>
          </rPr>
          <t xml:space="preserve">
Moms på faktura för O-ringen</t>
        </r>
      </text>
    </comment>
    <comment ref="G38" authorId="0">
      <text>
        <r>
          <rPr>
            <b/>
            <sz val="9"/>
            <rFont val="Arial"/>
            <family val="0"/>
          </rPr>
          <t>Lars Hedegård:</t>
        </r>
        <r>
          <rPr>
            <sz val="9"/>
            <rFont val="Arial"/>
            <family val="0"/>
          </rPr>
          <t xml:space="preserve">
Tillkommande på utgifter för anläggningen.</t>
        </r>
      </text>
    </comment>
    <comment ref="H38" authorId="0">
      <text>
        <r>
          <rPr>
            <b/>
            <sz val="9"/>
            <rFont val="Arial"/>
            <family val="0"/>
          </rPr>
          <t>Lars Hedegård:</t>
        </r>
        <r>
          <rPr>
            <sz val="9"/>
            <rFont val="Arial"/>
            <family val="0"/>
          </rPr>
          <t xml:space="preserve">
Tillkommande på utgifter för anläggning</t>
        </r>
      </text>
    </comment>
    <comment ref="J10" authorId="0">
      <text>
        <r>
          <rPr>
            <b/>
            <sz val="9"/>
            <rFont val="Arial"/>
            <family val="0"/>
          </rPr>
          <t>Lars Hedegård:</t>
        </r>
        <r>
          <rPr>
            <sz val="9"/>
            <rFont val="Arial"/>
            <family val="0"/>
          </rPr>
          <t xml:space="preserve">
Förskott på kick-back från IP Only 40 kr exkl. moms per medlem och månad. 60 månader. </t>
        </r>
      </text>
    </comment>
    <comment ref="J13" authorId="0">
      <text>
        <r>
          <rPr>
            <b/>
            <sz val="9"/>
            <rFont val="Arial"/>
            <family val="0"/>
          </rPr>
          <t>Lars Hedegård:</t>
        </r>
        <r>
          <rPr>
            <sz val="9"/>
            <rFont val="Arial"/>
            <family val="0"/>
          </rPr>
          <t xml:space="preserve">
25 % på kick-back IP Only</t>
        </r>
      </text>
    </comment>
    <comment ref="R27" authorId="0">
      <text>
        <r>
          <rPr>
            <b/>
            <sz val="9"/>
            <rFont val="Arial"/>
            <family val="0"/>
          </rPr>
          <t>Lars Hedegård:</t>
        </r>
        <r>
          <rPr>
            <sz val="9"/>
            <rFont val="Arial"/>
            <family val="0"/>
          </rPr>
          <t xml:space="preserve">
Programblad LIF</t>
        </r>
      </text>
    </comment>
    <comment ref="N30" authorId="0">
      <text>
        <r>
          <rPr>
            <b/>
            <sz val="9"/>
            <rFont val="Arial"/>
            <family val="0"/>
          </rPr>
          <t>Lars Hedegård:</t>
        </r>
        <r>
          <rPr>
            <sz val="9"/>
            <rFont val="Arial"/>
            <family val="0"/>
          </rPr>
          <t xml:space="preserve">
Domäner *2</t>
        </r>
      </text>
    </comment>
    <comment ref="Q30" authorId="0">
      <text>
        <r>
          <rPr>
            <b/>
            <sz val="9"/>
            <rFont val="Arial"/>
            <family val="0"/>
          </rPr>
          <t>Lars Hedegård:
Webbhotell</t>
        </r>
      </text>
    </comment>
    <comment ref="S38" authorId="0">
      <text>
        <r>
          <rPr>
            <b/>
            <sz val="9"/>
            <rFont val="Arial"/>
            <family val="0"/>
          </rPr>
          <t>Lars Hedegård:</t>
        </r>
        <r>
          <rPr>
            <sz val="9"/>
            <rFont val="Arial"/>
            <family val="0"/>
          </rPr>
          <t xml:space="preserve">
Tillkommande på utgifter för anläggningen.</t>
        </r>
      </text>
    </comment>
    <comment ref="T38" authorId="0">
      <text>
        <r>
          <rPr>
            <b/>
            <sz val="9"/>
            <rFont val="Arial"/>
            <family val="0"/>
          </rPr>
          <t>Lars Hedegård:</t>
        </r>
        <r>
          <rPr>
            <sz val="9"/>
            <rFont val="Arial"/>
            <family val="0"/>
          </rPr>
          <t xml:space="preserve">
Tillkommande på utgifter för anläggning</t>
        </r>
      </text>
    </comment>
    <comment ref="F6" authorId="0">
      <text>
        <r>
          <rPr>
            <b/>
            <sz val="9"/>
            <rFont val="Arial"/>
            <family val="0"/>
          </rPr>
          <t>Lars Hedegård:</t>
        </r>
        <r>
          <rPr>
            <sz val="9"/>
            <rFont val="Arial"/>
            <family val="0"/>
          </rPr>
          <t xml:space="preserve">
100 medlemmar betalar 2500 kr/st</t>
        </r>
      </text>
    </comment>
    <comment ref="G6" authorId="0">
      <text>
        <r>
          <rPr>
            <b/>
            <sz val="9"/>
            <rFont val="Arial"/>
            <family val="0"/>
          </rPr>
          <t>Lars Hedegård:</t>
        </r>
        <r>
          <rPr>
            <sz val="9"/>
            <rFont val="Arial"/>
            <family val="0"/>
          </rPr>
          <t xml:space="preserve">
100 medlemmar betalar 2500 kr/st</t>
        </r>
      </text>
    </comment>
    <comment ref="H6" authorId="0">
      <text>
        <r>
          <rPr>
            <b/>
            <sz val="9"/>
            <rFont val="Arial"/>
            <family val="0"/>
          </rPr>
          <t>Lars Hedegård:</t>
        </r>
        <r>
          <rPr>
            <sz val="9"/>
            <rFont val="Arial"/>
            <family val="0"/>
          </rPr>
          <t xml:space="preserve">
Lars Hedegård:
100 medlemmar betalar 2500 kr/st</t>
        </r>
      </text>
    </comment>
    <comment ref="I6" authorId="0">
      <text>
        <r>
          <rPr>
            <b/>
            <sz val="9"/>
            <rFont val="Arial"/>
            <family val="0"/>
          </rPr>
          <t>Lars Hedegård:</t>
        </r>
        <r>
          <rPr>
            <sz val="9"/>
            <rFont val="Arial"/>
            <family val="0"/>
          </rPr>
          <t xml:space="preserve">
Lars Hedegård:
50 medlemmar betalar 2500 kr/st</t>
        </r>
      </text>
    </comment>
    <comment ref="J6" authorId="0">
      <text>
        <r>
          <rPr>
            <b/>
            <sz val="9"/>
            <rFont val="Arial"/>
            <family val="0"/>
          </rPr>
          <t>Lars Hedegård:</t>
        </r>
        <r>
          <rPr>
            <sz val="9"/>
            <rFont val="Arial"/>
            <family val="0"/>
          </rPr>
          <t xml:space="preserve">
Lars Hedegård:
100 medlemmar betalar 2500 kr/st</t>
        </r>
      </text>
    </comment>
    <comment ref="I14" authorId="0">
      <text>
        <r>
          <rPr>
            <b/>
            <sz val="9"/>
            <rFont val="Arial"/>
            <family val="0"/>
          </rPr>
          <t>Lars Hedegård:</t>
        </r>
        <r>
          <rPr>
            <sz val="9"/>
            <rFont val="Arial"/>
            <family val="0"/>
          </rPr>
          <t xml:space="preserve">
Räknar med två månaders eftersläpning på momsen.</t>
        </r>
      </text>
    </comment>
    <comment ref="J7" authorId="0">
      <text>
        <r>
          <rPr>
            <b/>
            <sz val="9"/>
            <rFont val="Arial"/>
            <family val="0"/>
          </rPr>
          <t>Lars Hedegård:</t>
        </r>
        <r>
          <rPr>
            <sz val="9"/>
            <rFont val="Arial"/>
            <family val="0"/>
          </rPr>
          <t xml:space="preserve">
Totalt 400 medlemmar som betalar 100 kr/st</t>
        </r>
      </text>
    </comment>
    <comment ref="N6" authorId="0">
      <text>
        <r>
          <rPr>
            <b/>
            <sz val="9"/>
            <rFont val="Arial"/>
            <family val="0"/>
          </rPr>
          <t>Lars Hedegård:</t>
        </r>
        <r>
          <rPr>
            <sz val="9"/>
            <rFont val="Arial"/>
            <family val="0"/>
          </rPr>
          <t xml:space="preserve">
200 medlemmar som betalar 5000 kr/st.</t>
        </r>
      </text>
    </comment>
    <comment ref="O6" authorId="0">
      <text>
        <r>
          <rPr>
            <b/>
            <sz val="9"/>
            <rFont val="Arial"/>
            <family val="0"/>
          </rPr>
          <t>Lars Hedegård:</t>
        </r>
        <r>
          <rPr>
            <sz val="9"/>
            <rFont val="Arial"/>
            <family val="0"/>
          </rPr>
          <t>250 medlemmar som betalar 5000 kr/st.</t>
        </r>
      </text>
    </comment>
    <comment ref="Z30" authorId="0">
      <text>
        <r>
          <rPr>
            <b/>
            <sz val="9"/>
            <rFont val="Arial"/>
            <family val="0"/>
          </rPr>
          <t>Lars Hedegård:</t>
        </r>
        <r>
          <rPr>
            <sz val="9"/>
            <rFont val="Arial"/>
            <family val="0"/>
          </rPr>
          <t xml:space="preserve">
Domäner *2</t>
        </r>
      </text>
    </comment>
    <comment ref="S8" authorId="0">
      <text>
        <r>
          <rPr>
            <b/>
            <sz val="9"/>
            <rFont val="Arial"/>
            <family val="0"/>
          </rPr>
          <t>Lars Hedegård:</t>
        </r>
        <r>
          <rPr>
            <sz val="9"/>
            <rFont val="Arial"/>
            <family val="0"/>
          </rPr>
          <t xml:space="preserve">
ca 117 medlemmar som betalar 2000 kr + moms i anslutningsavgift.</t>
        </r>
      </text>
    </comment>
    <comment ref="T8" authorId="0">
      <text>
        <r>
          <rPr>
            <b/>
            <sz val="9"/>
            <rFont val="Arial"/>
            <family val="0"/>
          </rPr>
          <t>Lars Hedegård:</t>
        </r>
        <r>
          <rPr>
            <sz val="9"/>
            <rFont val="Arial"/>
            <family val="0"/>
          </rPr>
          <t xml:space="preserve">
ca 117 medlemmar som betalar 2000 kr + moms i anslutningsavgift.</t>
        </r>
      </text>
    </comment>
    <comment ref="U8" authorId="0">
      <text>
        <r>
          <rPr>
            <b/>
            <sz val="9"/>
            <rFont val="Arial"/>
            <family val="0"/>
          </rPr>
          <t>Lars Hedegård:</t>
        </r>
        <r>
          <rPr>
            <sz val="9"/>
            <rFont val="Arial"/>
            <family val="0"/>
          </rPr>
          <t xml:space="preserve">
235 medlemmar som betalar 2000 kr + moms i anslutningsavgift.</t>
        </r>
      </text>
    </comment>
    <comment ref="P6" authorId="0">
      <text>
        <r>
          <rPr>
            <b/>
            <sz val="9"/>
            <rFont val="Arial"/>
            <family val="0"/>
          </rPr>
          <t>Lars Hedegård:</t>
        </r>
        <r>
          <rPr>
            <sz val="9"/>
            <rFont val="Arial"/>
            <family val="0"/>
          </rPr>
          <t xml:space="preserve">
20 tillkommande medlemmar som betalar insats 1+2+3.</t>
        </r>
      </text>
    </comment>
    <comment ref="Q6" authorId="0">
      <text>
        <r>
          <rPr>
            <b/>
            <sz val="9"/>
            <rFont val="Arial"/>
            <family val="0"/>
          </rPr>
          <t>Lars Hedegård:</t>
        </r>
        <r>
          <rPr>
            <sz val="9"/>
            <rFont val="Arial"/>
            <family val="0"/>
          </rPr>
          <t xml:space="preserve">
225 medlemmar som betalar 3000 kr/st.2</t>
        </r>
      </text>
    </comment>
    <comment ref="R6" authorId="0">
      <text>
        <r>
          <rPr>
            <b/>
            <sz val="9"/>
            <rFont val="Arial"/>
            <family val="0"/>
          </rPr>
          <t>Lars Hedegård:</t>
        </r>
        <r>
          <rPr>
            <sz val="9"/>
            <rFont val="Arial"/>
            <family val="0"/>
          </rPr>
          <t xml:space="preserve">
235 medlemmar som betalar 3000 kr/st.</t>
        </r>
      </text>
    </comment>
    <comment ref="N31" authorId="0">
      <text>
        <r>
          <rPr>
            <b/>
            <sz val="9"/>
            <rFont val="Arial"/>
            <family val="0"/>
          </rPr>
          <t>Lars Hedegård:
4 kr/medlem och månad i anläggningsförsäkring</t>
        </r>
      </text>
    </comment>
    <comment ref="G17" authorId="0">
      <text>
        <r>
          <rPr>
            <b/>
            <sz val="9"/>
            <rFont val="Arial"/>
            <family val="0"/>
          </rPr>
          <t>Lars Hedegård:</t>
        </r>
        <r>
          <rPr>
            <sz val="9"/>
            <rFont val="Arial"/>
            <family val="0"/>
          </rPr>
          <t xml:space="preserve">
Givarp / O-ringen</t>
        </r>
      </text>
    </comment>
    <comment ref="G19" authorId="0">
      <text>
        <r>
          <rPr>
            <b/>
            <sz val="9"/>
            <rFont val="Arial"/>
            <family val="0"/>
          </rPr>
          <t>Lars Hedegård:</t>
        </r>
        <r>
          <rPr>
            <sz val="9"/>
            <rFont val="Arial"/>
            <family val="0"/>
          </rPr>
          <t xml:space="preserve">
20 % äta på material och tjänster samt 7800 kr avgift Trafikverket</t>
        </r>
      </text>
    </comment>
    <comment ref="H19" authorId="0">
      <text>
        <r>
          <rPr>
            <b/>
            <sz val="9"/>
            <rFont val="Arial"/>
            <family val="0"/>
          </rPr>
          <t>Lars Hedegård:</t>
        </r>
        <r>
          <rPr>
            <sz val="9"/>
            <rFont val="Arial"/>
            <family val="0"/>
          </rPr>
          <t xml:space="preserve">
20 % äta på material och tjänster samt 7800 kr </t>
        </r>
      </text>
    </comment>
    <comment ref="V19" authorId="0">
      <text>
        <r>
          <rPr>
            <b/>
            <sz val="9"/>
            <rFont val="Arial"/>
            <family val="0"/>
          </rPr>
          <t>Lars Hedegård:</t>
        </r>
        <r>
          <rPr>
            <sz val="9"/>
            <rFont val="Arial"/>
            <family val="0"/>
          </rPr>
          <t xml:space="preserve">
Lantmäteriförrättning</t>
        </r>
      </text>
    </comment>
    <comment ref="C19" authorId="0">
      <text>
        <r>
          <rPr>
            <b/>
            <sz val="9"/>
            <rFont val="Arial"/>
            <family val="0"/>
          </rPr>
          <t>Lars Hedegård:</t>
        </r>
        <r>
          <rPr>
            <sz val="9"/>
            <rFont val="Arial"/>
            <family val="0"/>
          </rPr>
          <t xml:space="preserve">
Projektering</t>
        </r>
      </text>
    </comment>
  </commentList>
</comments>
</file>

<file path=xl/comments4.xml><?xml version="1.0" encoding="utf-8"?>
<comments xmlns="http://schemas.openxmlformats.org/spreadsheetml/2006/main">
  <authors>
    <author>Lars Hedeg?rd</author>
  </authors>
  <commentList>
    <comment ref="F6" authorId="0">
      <text>
        <r>
          <rPr>
            <b/>
            <sz val="9"/>
            <rFont val="Arial"/>
            <family val="0"/>
          </rPr>
          <t>Lars Hedegård:</t>
        </r>
        <r>
          <rPr>
            <sz val="9"/>
            <rFont val="Arial"/>
            <family val="0"/>
          </rPr>
          <t xml:space="preserve">
100 medlemmar betalar 2500 kr/st</t>
        </r>
      </text>
    </comment>
    <comment ref="G6" authorId="0">
      <text>
        <r>
          <rPr>
            <b/>
            <sz val="9"/>
            <rFont val="Arial"/>
            <family val="0"/>
          </rPr>
          <t>Lars Hedegård:</t>
        </r>
        <r>
          <rPr>
            <sz val="9"/>
            <rFont val="Arial"/>
            <family val="0"/>
          </rPr>
          <t xml:space="preserve">
100 medlemmar betalar 2500 kr/st</t>
        </r>
      </text>
    </comment>
    <comment ref="H6" authorId="0">
      <text>
        <r>
          <rPr>
            <b/>
            <sz val="9"/>
            <rFont val="Arial"/>
            <family val="0"/>
          </rPr>
          <t>Lars Hedegård:</t>
        </r>
        <r>
          <rPr>
            <sz val="9"/>
            <rFont val="Arial"/>
            <family val="0"/>
          </rPr>
          <t xml:space="preserve">
Lars Hedegård:
100 medlemmar betalar 2500 kr/st</t>
        </r>
      </text>
    </comment>
    <comment ref="I6" authorId="0">
      <text>
        <r>
          <rPr>
            <b/>
            <sz val="9"/>
            <rFont val="Arial"/>
            <family val="0"/>
          </rPr>
          <t>Lars Hedegård:</t>
        </r>
        <r>
          <rPr>
            <sz val="9"/>
            <rFont val="Arial"/>
            <family val="0"/>
          </rPr>
          <t xml:space="preserve">
Lars Hedegård:
50 medlemmar betalar 2500 kr/st</t>
        </r>
      </text>
    </comment>
    <comment ref="J6" authorId="0">
      <text>
        <r>
          <rPr>
            <b/>
            <sz val="9"/>
            <rFont val="Arial"/>
            <family val="0"/>
          </rPr>
          <t>Lars Hedegård:</t>
        </r>
        <r>
          <rPr>
            <sz val="9"/>
            <rFont val="Arial"/>
            <family val="0"/>
          </rPr>
          <t xml:space="preserve">
Lars Hedegård:
100 medlemmar betalar 2500 kr/st</t>
        </r>
      </text>
    </comment>
    <comment ref="N6" authorId="0">
      <text>
        <r>
          <rPr>
            <b/>
            <sz val="9"/>
            <rFont val="Arial"/>
            <family val="0"/>
          </rPr>
          <t>Lars Hedegård:</t>
        </r>
        <r>
          <rPr>
            <sz val="9"/>
            <rFont val="Arial"/>
            <family val="0"/>
          </rPr>
          <t xml:space="preserve">
200 medlemmar som betalar 5000 kr/st.</t>
        </r>
      </text>
    </comment>
    <comment ref="O6" authorId="0">
      <text>
        <r>
          <rPr>
            <b/>
            <sz val="9"/>
            <rFont val="Arial"/>
            <family val="0"/>
          </rPr>
          <t>Lars Hedegård:</t>
        </r>
        <r>
          <rPr>
            <sz val="9"/>
            <rFont val="Arial"/>
            <family val="0"/>
          </rPr>
          <t>250 medlemmar som betalar 5000 kr/st.</t>
        </r>
      </text>
    </comment>
    <comment ref="P6" authorId="0">
      <text>
        <r>
          <rPr>
            <b/>
            <sz val="9"/>
            <rFont val="Arial"/>
            <family val="0"/>
          </rPr>
          <t>Lars Hedegård:</t>
        </r>
        <r>
          <rPr>
            <sz val="9"/>
            <rFont val="Arial"/>
            <family val="0"/>
          </rPr>
          <t xml:space="preserve">
20 tillkommande medlemmar som betalar insats 1+2+3.</t>
        </r>
      </text>
    </comment>
    <comment ref="Q6" authorId="0">
      <text>
        <r>
          <rPr>
            <b/>
            <sz val="9"/>
            <rFont val="Arial"/>
            <family val="0"/>
          </rPr>
          <t>Lars Hedegård:</t>
        </r>
        <r>
          <rPr>
            <sz val="9"/>
            <rFont val="Arial"/>
            <family val="0"/>
          </rPr>
          <t xml:space="preserve">
225 medlemmar som betalar 3000 kr/st.2</t>
        </r>
      </text>
    </comment>
    <comment ref="R6" authorId="0">
      <text>
        <r>
          <rPr>
            <b/>
            <sz val="9"/>
            <rFont val="Arial"/>
            <family val="0"/>
          </rPr>
          <t>Lars Hedegård:</t>
        </r>
        <r>
          <rPr>
            <sz val="9"/>
            <rFont val="Arial"/>
            <family val="0"/>
          </rPr>
          <t xml:space="preserve">
235 medlemmar som betalar 3000 kr/st.</t>
        </r>
      </text>
    </comment>
    <comment ref="J7" authorId="0">
      <text>
        <r>
          <rPr>
            <b/>
            <sz val="9"/>
            <rFont val="Arial"/>
            <family val="0"/>
          </rPr>
          <t>Lars Hedegård:</t>
        </r>
        <r>
          <rPr>
            <sz val="9"/>
            <rFont val="Arial"/>
            <family val="0"/>
          </rPr>
          <t xml:space="preserve">
Totalt 400 medlemmar som betalar 100 kr/st</t>
        </r>
      </text>
    </comment>
    <comment ref="S8" authorId="0">
      <text>
        <r>
          <rPr>
            <b/>
            <sz val="9"/>
            <rFont val="Arial"/>
            <family val="0"/>
          </rPr>
          <t>Lars Hedegård:</t>
        </r>
        <r>
          <rPr>
            <sz val="9"/>
            <rFont val="Arial"/>
            <family val="0"/>
          </rPr>
          <t xml:space="preserve">
ca 117 medlemmar som betalar 2000 kr + moms i anslutningsavgift.</t>
        </r>
      </text>
    </comment>
    <comment ref="T8" authorId="0">
      <text>
        <r>
          <rPr>
            <b/>
            <sz val="9"/>
            <rFont val="Arial"/>
            <family val="0"/>
          </rPr>
          <t>Lars Hedegård:</t>
        </r>
        <r>
          <rPr>
            <sz val="9"/>
            <rFont val="Arial"/>
            <family val="0"/>
          </rPr>
          <t xml:space="preserve">
ca 117 medlemmar som betalar 2000 kr + moms i anslutningsavgift.</t>
        </r>
      </text>
    </comment>
    <comment ref="U8" authorId="0">
      <text>
        <r>
          <rPr>
            <b/>
            <sz val="9"/>
            <rFont val="Arial"/>
            <family val="0"/>
          </rPr>
          <t>Lars Hedegård:</t>
        </r>
        <r>
          <rPr>
            <sz val="9"/>
            <rFont val="Arial"/>
            <family val="0"/>
          </rPr>
          <t xml:space="preserve">
235 medlemmar som betalar 2000 kr + moms i anslutningsavgift.</t>
        </r>
      </text>
    </comment>
    <comment ref="H10" authorId="0">
      <text>
        <r>
          <rPr>
            <b/>
            <sz val="9"/>
            <rFont val="Arial"/>
            <family val="0"/>
          </rPr>
          <t>Lars Hedegård:</t>
        </r>
        <r>
          <rPr>
            <sz val="9"/>
            <rFont val="Arial"/>
            <family val="0"/>
          </rPr>
          <t xml:space="preserve">
Fiber till Givar/O-ringen. Betalning från Tranemo kommun. Exkl. moms</t>
        </r>
      </text>
    </comment>
    <comment ref="J10" authorId="0">
      <text>
        <r>
          <rPr>
            <b/>
            <sz val="9"/>
            <rFont val="Arial"/>
            <family val="0"/>
          </rPr>
          <t>Lars Hedegård:</t>
        </r>
        <r>
          <rPr>
            <sz val="9"/>
            <rFont val="Arial"/>
            <family val="0"/>
          </rPr>
          <t xml:space="preserve">
Förskott på kick-back från IP Only 40 kr exkl. moms per medlem och månad. 60 månader. </t>
        </r>
      </text>
    </comment>
    <comment ref="H13" authorId="0">
      <text>
        <r>
          <rPr>
            <b/>
            <sz val="9"/>
            <rFont val="Arial"/>
            <family val="0"/>
          </rPr>
          <t>Lars Hedegård:</t>
        </r>
        <r>
          <rPr>
            <sz val="9"/>
            <rFont val="Arial"/>
            <family val="0"/>
          </rPr>
          <t xml:space="preserve">
Moms på faktura för O-ringen</t>
        </r>
      </text>
    </comment>
    <comment ref="J13" authorId="0">
      <text>
        <r>
          <rPr>
            <b/>
            <sz val="9"/>
            <rFont val="Arial"/>
            <family val="0"/>
          </rPr>
          <t>Lars Hedegård:</t>
        </r>
        <r>
          <rPr>
            <sz val="9"/>
            <rFont val="Arial"/>
            <family val="0"/>
          </rPr>
          <t xml:space="preserve">
25 % på kick-back IP Only</t>
        </r>
      </text>
    </comment>
    <comment ref="I14" authorId="0">
      <text>
        <r>
          <rPr>
            <b/>
            <sz val="9"/>
            <rFont val="Arial"/>
            <family val="0"/>
          </rPr>
          <t>Lars Hedegård:</t>
        </r>
        <r>
          <rPr>
            <sz val="9"/>
            <rFont val="Arial"/>
            <family val="0"/>
          </rPr>
          <t xml:space="preserve">
Räknar med två månaders eftersläpning på momsen.</t>
        </r>
      </text>
    </comment>
    <comment ref="G17" authorId="0">
      <text>
        <r>
          <rPr>
            <b/>
            <sz val="9"/>
            <rFont val="Arial"/>
            <family val="0"/>
          </rPr>
          <t>Lars Hedegård:</t>
        </r>
        <r>
          <rPr>
            <sz val="9"/>
            <rFont val="Arial"/>
            <family val="0"/>
          </rPr>
          <t xml:space="preserve">
Givarp / O-ringen</t>
        </r>
      </text>
    </comment>
    <comment ref="C19" authorId="0">
      <text>
        <r>
          <rPr>
            <b/>
            <sz val="9"/>
            <rFont val="Arial"/>
            <family val="0"/>
          </rPr>
          <t>Lars Hedegård:</t>
        </r>
        <r>
          <rPr>
            <sz val="9"/>
            <rFont val="Arial"/>
            <family val="0"/>
          </rPr>
          <t xml:space="preserve">
Projektering</t>
        </r>
      </text>
    </comment>
    <comment ref="G19" authorId="0">
      <text>
        <r>
          <rPr>
            <b/>
            <sz val="9"/>
            <rFont val="Arial"/>
            <family val="0"/>
          </rPr>
          <t>Lars Hedegård:</t>
        </r>
        <r>
          <rPr>
            <sz val="9"/>
            <rFont val="Arial"/>
            <family val="0"/>
          </rPr>
          <t xml:space="preserve">
20 % äta på material och tjänster samt 7800 kr avgift Trafikverket</t>
        </r>
      </text>
    </comment>
    <comment ref="H19" authorId="0">
      <text>
        <r>
          <rPr>
            <b/>
            <sz val="9"/>
            <rFont val="Arial"/>
            <family val="0"/>
          </rPr>
          <t>Lars Hedegård:</t>
        </r>
        <r>
          <rPr>
            <sz val="9"/>
            <rFont val="Arial"/>
            <family val="0"/>
          </rPr>
          <t xml:space="preserve">
20 % äta på material och tjänster samt 7800 kr </t>
        </r>
      </text>
    </comment>
    <comment ref="V19" authorId="0">
      <text>
        <r>
          <rPr>
            <b/>
            <sz val="9"/>
            <rFont val="Arial"/>
            <family val="0"/>
          </rPr>
          <t>Lars Hedegård:</t>
        </r>
        <r>
          <rPr>
            <sz val="9"/>
            <rFont val="Arial"/>
            <family val="0"/>
          </rPr>
          <t xml:space="preserve">
Lantmäteriförrättning</t>
        </r>
      </text>
    </comment>
    <comment ref="F27" authorId="0">
      <text>
        <r>
          <rPr>
            <b/>
            <sz val="9"/>
            <rFont val="Arial"/>
            <family val="0"/>
          </rPr>
          <t>Lars Hedegård:</t>
        </r>
        <r>
          <rPr>
            <sz val="9"/>
            <rFont val="Arial"/>
            <family val="0"/>
          </rPr>
          <t xml:space="preserve">
Programblad LIF</t>
        </r>
      </text>
    </comment>
    <comment ref="R27" authorId="0">
      <text>
        <r>
          <rPr>
            <b/>
            <sz val="9"/>
            <rFont val="Arial"/>
            <family val="0"/>
          </rPr>
          <t>Lars Hedegård:</t>
        </r>
        <r>
          <rPr>
            <sz val="9"/>
            <rFont val="Arial"/>
            <family val="0"/>
          </rPr>
          <t xml:space="preserve">
Programblad LIF</t>
        </r>
      </text>
    </comment>
    <comment ref="B30" authorId="0">
      <text>
        <r>
          <rPr>
            <b/>
            <sz val="9"/>
            <rFont val="Arial"/>
            <family val="0"/>
          </rPr>
          <t>Lars Hedegård:</t>
        </r>
        <r>
          <rPr>
            <sz val="9"/>
            <rFont val="Arial"/>
            <family val="0"/>
          </rPr>
          <t xml:space="preserve">
Domäner *2</t>
        </r>
      </text>
    </comment>
    <comment ref="E30" authorId="0">
      <text>
        <r>
          <rPr>
            <b/>
            <sz val="9"/>
            <rFont val="Arial"/>
            <family val="0"/>
          </rPr>
          <t>Lars Hedegård:
Webbhotell</t>
        </r>
      </text>
    </comment>
    <comment ref="N30" authorId="0">
      <text>
        <r>
          <rPr>
            <b/>
            <sz val="9"/>
            <rFont val="Arial"/>
            <family val="0"/>
          </rPr>
          <t>Lars Hedegård:</t>
        </r>
        <r>
          <rPr>
            <sz val="9"/>
            <rFont val="Arial"/>
            <family val="0"/>
          </rPr>
          <t xml:space="preserve">
Domäner *2</t>
        </r>
      </text>
    </comment>
    <comment ref="Q30" authorId="0">
      <text>
        <r>
          <rPr>
            <b/>
            <sz val="9"/>
            <rFont val="Arial"/>
            <family val="0"/>
          </rPr>
          <t>Lars Hedegård:
Webbhotell</t>
        </r>
      </text>
    </comment>
    <comment ref="Z30" authorId="0">
      <text>
        <r>
          <rPr>
            <b/>
            <sz val="9"/>
            <rFont val="Arial"/>
            <family val="0"/>
          </rPr>
          <t>Lars Hedegård:</t>
        </r>
        <r>
          <rPr>
            <sz val="9"/>
            <rFont val="Arial"/>
            <family val="0"/>
          </rPr>
          <t xml:space="preserve">
Domäner *2</t>
        </r>
      </text>
    </comment>
    <comment ref="N31" authorId="0">
      <text>
        <r>
          <rPr>
            <b/>
            <sz val="9"/>
            <rFont val="Arial"/>
            <family val="0"/>
          </rPr>
          <t>Lars Hedegård:
4 kr/medlem och månad i anläggningsförsäkring</t>
        </r>
      </text>
    </comment>
    <comment ref="G38" authorId="0">
      <text>
        <r>
          <rPr>
            <b/>
            <sz val="9"/>
            <rFont val="Arial"/>
            <family val="0"/>
          </rPr>
          <t>Lars Hedegård:</t>
        </r>
        <r>
          <rPr>
            <sz val="9"/>
            <rFont val="Arial"/>
            <family val="0"/>
          </rPr>
          <t xml:space="preserve">
Tillkommande på utgifter för anläggningen.</t>
        </r>
      </text>
    </comment>
    <comment ref="H38" authorId="0">
      <text>
        <r>
          <rPr>
            <b/>
            <sz val="9"/>
            <rFont val="Arial"/>
            <family val="0"/>
          </rPr>
          <t>Lars Hedegård:</t>
        </r>
        <r>
          <rPr>
            <sz val="9"/>
            <rFont val="Arial"/>
            <family val="0"/>
          </rPr>
          <t xml:space="preserve">
Tillkommande på utgifter för anläggning</t>
        </r>
      </text>
    </comment>
    <comment ref="S38" authorId="0">
      <text>
        <r>
          <rPr>
            <b/>
            <sz val="9"/>
            <rFont val="Arial"/>
            <family val="0"/>
          </rPr>
          <t>Lars Hedegård:</t>
        </r>
        <r>
          <rPr>
            <sz val="9"/>
            <rFont val="Arial"/>
            <family val="0"/>
          </rPr>
          <t xml:space="preserve">
Tillkommande på utgifter för anläggningen.</t>
        </r>
      </text>
    </comment>
    <comment ref="T38" authorId="0">
      <text>
        <r>
          <rPr>
            <b/>
            <sz val="9"/>
            <rFont val="Arial"/>
            <family val="0"/>
          </rPr>
          <t>Lars Hedegård:</t>
        </r>
        <r>
          <rPr>
            <sz val="9"/>
            <rFont val="Arial"/>
            <family val="0"/>
          </rPr>
          <t xml:space="preserve">
Tillkommande på utgifter för anläggning</t>
        </r>
      </text>
    </comment>
  </commentList>
</comments>
</file>

<file path=xl/sharedStrings.xml><?xml version="1.0" encoding="utf-8"?>
<sst xmlns="http://schemas.openxmlformats.org/spreadsheetml/2006/main" count="377" uniqueCount="99">
  <si>
    <t>Jan</t>
  </si>
  <si>
    <t>Feb</t>
  </si>
  <si>
    <t>Mar</t>
  </si>
  <si>
    <t>Apr</t>
  </si>
  <si>
    <t>Maj</t>
  </si>
  <si>
    <t>Jun</t>
  </si>
  <si>
    <t>Jul</t>
  </si>
  <si>
    <t>Aug</t>
  </si>
  <si>
    <t>Sep</t>
  </si>
  <si>
    <t>Okt</t>
  </si>
  <si>
    <t>Nov</t>
  </si>
  <si>
    <t>Dec</t>
  </si>
  <si>
    <t>Inbetalningar</t>
  </si>
  <si>
    <t>Medlemsinsatser</t>
  </si>
  <si>
    <t>Anslutningsavgifter</t>
  </si>
  <si>
    <t>Nätavgifter</t>
  </si>
  <si>
    <t>Övrig försäljning</t>
  </si>
  <si>
    <t>Bidrag</t>
  </si>
  <si>
    <t>Lån</t>
  </si>
  <si>
    <t>Summa inbetalningar</t>
  </si>
  <si>
    <t>Utbetalningar</t>
  </si>
  <si>
    <t>Anslutning fastigheter</t>
  </si>
  <si>
    <t>Operatörskostnad</t>
  </si>
  <si>
    <t>Service-rep-underhåll</t>
  </si>
  <si>
    <t>Hyra av utrustning</t>
  </si>
  <si>
    <t xml:space="preserve">Förbrukn. inventarier </t>
  </si>
  <si>
    <t>Trycksaker</t>
  </si>
  <si>
    <t>Styrelsearvode</t>
  </si>
  <si>
    <t>Föreningsstämma</t>
  </si>
  <si>
    <t>Revisionskostnad</t>
  </si>
  <si>
    <t>Återbetalning lån</t>
  </si>
  <si>
    <t>Summa utbetalningar</t>
  </si>
  <si>
    <t>Medlemsavgifter</t>
  </si>
  <si>
    <t>Utgående saldo</t>
  </si>
  <si>
    <t>Anmärkning</t>
  </si>
  <si>
    <t>Annonsering</t>
  </si>
  <si>
    <t>Nyhetsbrev</t>
  </si>
  <si>
    <t>Hemsida</t>
  </si>
  <si>
    <t>Bankkostnader</t>
  </si>
  <si>
    <t>Tillkommande moms</t>
  </si>
  <si>
    <t>Kontorsmaterial mm</t>
  </si>
  <si>
    <t>Övriga kostnader</t>
  </si>
  <si>
    <t>Momsredovisning (åter)</t>
  </si>
  <si>
    <t>Momsredovisning (betala)</t>
  </si>
  <si>
    <t>3:e insats</t>
  </si>
  <si>
    <t>1:a insats 2500 kr/st</t>
  </si>
  <si>
    <t>3:e insats 5000 kr/st</t>
  </si>
  <si>
    <t>Anslutningsavgift 2000 + moms</t>
  </si>
  <si>
    <t>4:e insats 3000 kr/st</t>
  </si>
  <si>
    <t>Insats 1+2 50 tillk. medlemmar dec</t>
  </si>
  <si>
    <t>2:a insats 6500 kr/st</t>
  </si>
  <si>
    <t>20 medl. Till</t>
  </si>
  <si>
    <t>Antal medlem. juni 2015</t>
  </si>
  <si>
    <t>Tillkomm. medl. dec 2015</t>
  </si>
  <si>
    <t>Tillkomm. medl. feb 2016</t>
  </si>
  <si>
    <t>I:a insats</t>
  </si>
  <si>
    <t>Summa</t>
  </si>
  <si>
    <t>2:a insats</t>
  </si>
  <si>
    <t>4:e insats</t>
  </si>
  <si>
    <t>Anslutningsavgift</t>
  </si>
  <si>
    <t>Total insats och anslutningavg ink. moms</t>
  </si>
  <si>
    <t>Slutlig totalkostnad per medlem:</t>
  </si>
  <si>
    <t>Kontroll mot totalsumma</t>
  </si>
  <si>
    <t>El (förbrukning + abonnemang)</t>
  </si>
  <si>
    <t>Nätavgift</t>
  </si>
  <si>
    <t>Försäkring (styrelse + anläggning)</t>
  </si>
  <si>
    <t>Postbefordran</t>
  </si>
  <si>
    <t>Ingående balans, kassa/bank</t>
  </si>
  <si>
    <t>,</t>
  </si>
  <si>
    <t>Månad</t>
  </si>
  <si>
    <t>Med bidrag</t>
  </si>
  <si>
    <t>Utan bidrag</t>
  </si>
  <si>
    <t>Kommentar</t>
  </si>
  <si>
    <t>Tredje insatsen</t>
  </si>
  <si>
    <t>Fjärde insatsen</t>
  </si>
  <si>
    <t>Anslutningsavgift inkl. moms</t>
  </si>
  <si>
    <t>Anslutningsavgift:</t>
  </si>
  <si>
    <t>Inklusive moms</t>
  </si>
  <si>
    <t>Medlemsavgift 100 kr/år</t>
  </si>
  <si>
    <t>3:e insats 7000 kr/st</t>
  </si>
  <si>
    <t>470 medlemmar</t>
  </si>
  <si>
    <t>350 medlemmar</t>
  </si>
  <si>
    <t>Material</t>
  </si>
  <si>
    <t>Tjänster</t>
  </si>
  <si>
    <t>Övrigt anläggning</t>
  </si>
  <si>
    <t>Återbetalning</t>
  </si>
  <si>
    <t>830 000 kr kvar i kassan</t>
  </si>
  <si>
    <t>3:e insats 6500 kr/st</t>
  </si>
  <si>
    <t>4:e insats 6000 kr/st</t>
  </si>
  <si>
    <t>2:a insats 7000 kr/st</t>
  </si>
  <si>
    <t>4:e insats 7500 kr/st</t>
  </si>
  <si>
    <t>100 000 kr kvar i kassan</t>
  </si>
  <si>
    <t>Totalt inbetalda insatser:</t>
  </si>
  <si>
    <t>Återbetalning av insats:</t>
  </si>
  <si>
    <t>Första insats 2500 kr + medlemsavgift 100 kr</t>
  </si>
  <si>
    <t>Nätavgift 70 kr/månad inkl moms för fyra månader</t>
  </si>
  <si>
    <t>Andra insatsen</t>
  </si>
  <si>
    <t>Totalsumma anslutning:</t>
  </si>
  <si>
    <t>Nedan visas en preliminär plan över inbetalningar från medlem till föreningen under byggnationen. Inbetalningsplanen avser en anslutning. Vill medlemmen ha fler anslutningar förändras beloppen i enlighet med fastställda anslutningsalternativ för flera anslutningar. Betalningsplanen utgår ifrån byggstart i september 2015. Förändras byggstarten kan planen förändras. Eftersom del av ev. bidrag betalas ut efter färdigställt fibernät behöver en större insats tas in för att säkerställa föreningens betalningsförmåga, när hela bidraget erhållits kan en återbetalning genomföras. Ett alternativ till detta är om föreningen kan få ett lån hos banken mot extrakostnad i form av ränta. Efter färdigställande betalar medlemmen en nätavgift per månad till föreningen uppskattad till ca 70 kr/månad.</t>
  </si>
</sst>
</file>

<file path=xl/styles.xml><?xml version="1.0" encoding="utf-8"?>
<styleSheet xmlns="http://schemas.openxmlformats.org/spreadsheetml/2006/main">
  <numFmts count="1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yyyy/mmm"/>
    <numFmt numFmtId="165" formatCode="mmm/yyyy"/>
    <numFmt numFmtId="166" formatCode="#,##0\ &quot;kr&quot;"/>
    <numFmt numFmtId="167" formatCode="[$-41D]dddd\ d\ mmmm\ yy"/>
    <numFmt numFmtId="168" formatCode="yyyy/mmmm"/>
  </numFmts>
  <fonts count="45">
    <font>
      <sz val="10"/>
      <name val="Arial"/>
      <family val="2"/>
    </font>
    <font>
      <sz val="8"/>
      <name val="Arial"/>
      <family val="0"/>
    </font>
    <font>
      <sz val="9"/>
      <name val="Arial"/>
      <family val="0"/>
    </font>
    <font>
      <b/>
      <sz val="9"/>
      <name val="Arial"/>
      <family val="0"/>
    </font>
    <font>
      <b/>
      <sz val="16"/>
      <name val="Times New Roman"/>
      <family val="0"/>
    </font>
    <font>
      <sz val="12"/>
      <name val="Times New Roman"/>
      <family val="0"/>
    </font>
    <font>
      <sz val="10"/>
      <name val="Times New Roman"/>
      <family val="0"/>
    </font>
    <font>
      <b/>
      <sz val="12"/>
      <name val="Times New Roman"/>
      <family val="0"/>
    </font>
    <font>
      <b/>
      <sz val="10"/>
      <name val="Times New Roman"/>
      <family val="0"/>
    </font>
    <font>
      <b/>
      <sz val="14"/>
      <name val="Times New Roman"/>
      <family val="1"/>
    </font>
    <font>
      <sz val="12"/>
      <color indexed="8"/>
      <name val="Calibri"/>
      <family val="2"/>
    </font>
    <font>
      <sz val="12"/>
      <color indexed="9"/>
      <name val="Calibri"/>
      <family val="2"/>
    </font>
    <font>
      <b/>
      <sz val="12"/>
      <color indexed="52"/>
      <name val="Calibri"/>
      <family val="2"/>
    </font>
    <font>
      <sz val="12"/>
      <color indexed="17"/>
      <name val="Calibri"/>
      <family val="2"/>
    </font>
    <font>
      <sz val="12"/>
      <color indexed="14"/>
      <name val="Calibri"/>
      <family val="2"/>
    </font>
    <font>
      <i/>
      <sz val="12"/>
      <color indexed="23"/>
      <name val="Calibri"/>
      <family val="2"/>
    </font>
    <font>
      <sz val="12"/>
      <color indexed="62"/>
      <name val="Calibri"/>
      <family val="2"/>
    </font>
    <font>
      <b/>
      <sz val="12"/>
      <color indexed="9"/>
      <name val="Calibri"/>
      <family val="2"/>
    </font>
    <font>
      <sz val="12"/>
      <color indexed="52"/>
      <name val="Calibri"/>
      <family val="2"/>
    </font>
    <font>
      <sz val="12"/>
      <color indexed="6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63"/>
      <name val="Calibri"/>
      <family val="2"/>
    </font>
    <font>
      <sz val="12"/>
      <color indexed="10"/>
      <name val="Calibri"/>
      <family val="2"/>
    </font>
    <font>
      <sz val="12"/>
      <color theme="1"/>
      <name val="Calibri"/>
      <family val="2"/>
    </font>
    <font>
      <sz val="12"/>
      <color theme="0"/>
      <name val="Calibri"/>
      <family val="2"/>
    </font>
    <font>
      <b/>
      <sz val="12"/>
      <color rgb="FFFA7D00"/>
      <name val="Calibri"/>
      <family val="2"/>
    </font>
    <font>
      <sz val="12"/>
      <color rgb="FF006100"/>
      <name val="Calibri"/>
      <family val="2"/>
    </font>
    <font>
      <sz val="12"/>
      <color rgb="FF9C0006"/>
      <name val="Calibri"/>
      <family val="2"/>
    </font>
    <font>
      <i/>
      <sz val="12"/>
      <color rgb="FF7F7F7F"/>
      <name val="Calibri"/>
      <family val="2"/>
    </font>
    <font>
      <sz val="12"/>
      <color rgb="FF3F3F76"/>
      <name val="Calibri"/>
      <family val="2"/>
    </font>
    <font>
      <b/>
      <sz val="12"/>
      <color theme="0"/>
      <name val="Calibri"/>
      <family val="2"/>
    </font>
    <font>
      <sz val="12"/>
      <color rgb="FFFA7D00"/>
      <name val="Calibri"/>
      <family val="2"/>
    </font>
    <font>
      <sz val="12"/>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sz val="12"/>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tint="-0.1499900072813034"/>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Dashed"/>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20" borderId="1" applyNumberFormat="0" applyFont="0" applyAlignment="0" applyProtection="0"/>
    <xf numFmtId="0" fontId="29" fillId="21" borderId="2" applyNumberFormat="0" applyAlignment="0" applyProtection="0"/>
    <xf numFmtId="0" fontId="3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30" borderId="2" applyNumberFormat="0" applyAlignment="0" applyProtection="0"/>
    <xf numFmtId="0" fontId="34" fillId="31" borderId="3" applyNumberFormat="0" applyAlignment="0" applyProtection="0"/>
    <xf numFmtId="0" fontId="35" fillId="0" borderId="4" applyNumberFormat="0" applyFill="0" applyAlignment="0" applyProtection="0"/>
    <xf numFmtId="0" fontId="36" fillId="32"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cellStyleXfs>
  <cellXfs count="50">
    <xf numFmtId="0" fontId="0" fillId="0" borderId="0" xfId="0"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horizontal="center" vertical="center"/>
    </xf>
    <xf numFmtId="0" fontId="8" fillId="0" borderId="0" xfId="0" applyFont="1" applyAlignment="1">
      <alignment vertical="center"/>
    </xf>
    <xf numFmtId="0" fontId="5" fillId="33" borderId="0" xfId="0" applyFont="1" applyFill="1" applyAlignment="1">
      <alignment horizontal="left"/>
    </xf>
    <xf numFmtId="0" fontId="7" fillId="33" borderId="0" xfId="0" applyFont="1" applyFill="1" applyAlignment="1">
      <alignment horizontal="center"/>
    </xf>
    <xf numFmtId="0" fontId="6" fillId="33" borderId="0" xfId="0" applyFont="1" applyFill="1" applyAlignment="1">
      <alignment/>
    </xf>
    <xf numFmtId="0" fontId="5" fillId="0" borderId="0" xfId="0" applyFont="1" applyAlignment="1">
      <alignment horizontal="left"/>
    </xf>
    <xf numFmtId="38" fontId="7" fillId="0" borderId="0" xfId="0" applyNumberFormat="1" applyFont="1" applyAlignment="1">
      <alignment/>
    </xf>
    <xf numFmtId="0" fontId="9" fillId="33" borderId="0" xfId="0" applyFont="1" applyFill="1" applyAlignment="1">
      <alignment horizontal="left"/>
    </xf>
    <xf numFmtId="38" fontId="5" fillId="33" borderId="0" xfId="0" applyNumberFormat="1" applyFont="1" applyFill="1" applyAlignment="1">
      <alignment/>
    </xf>
    <xf numFmtId="38" fontId="5" fillId="0" borderId="0" xfId="0" applyNumberFormat="1" applyFont="1" applyAlignment="1">
      <alignment/>
    </xf>
    <xf numFmtId="0" fontId="7" fillId="0" borderId="0" xfId="0" applyFont="1" applyAlignment="1">
      <alignment horizontal="left"/>
    </xf>
    <xf numFmtId="0" fontId="7" fillId="0" borderId="10" xfId="0" applyFont="1" applyBorder="1" applyAlignment="1">
      <alignment horizontal="left"/>
    </xf>
    <xf numFmtId="38" fontId="7" fillId="0" borderId="10" xfId="0" applyNumberFormat="1" applyFont="1" applyBorder="1" applyAlignment="1">
      <alignment/>
    </xf>
    <xf numFmtId="0" fontId="6" fillId="0" borderId="10" xfId="0" applyFont="1" applyBorder="1" applyAlignment="1">
      <alignment/>
    </xf>
    <xf numFmtId="0" fontId="4" fillId="33" borderId="0" xfId="0" applyFont="1" applyFill="1" applyAlignment="1">
      <alignment horizontal="left"/>
    </xf>
    <xf numFmtId="0" fontId="7" fillId="33" borderId="10" xfId="0" applyFont="1" applyFill="1" applyBorder="1" applyAlignment="1">
      <alignment horizontal="left"/>
    </xf>
    <xf numFmtId="38" fontId="7" fillId="33" borderId="10" xfId="0" applyNumberFormat="1" applyFont="1" applyFill="1" applyBorder="1" applyAlignment="1">
      <alignment/>
    </xf>
    <xf numFmtId="0" fontId="6" fillId="33" borderId="10" xfId="0" applyFont="1" applyFill="1" applyBorder="1" applyAlignment="1">
      <alignment/>
    </xf>
    <xf numFmtId="0" fontId="6" fillId="0" borderId="0" xfId="0" applyFont="1" applyAlignment="1">
      <alignment horizontal="left"/>
    </xf>
    <xf numFmtId="0" fontId="9" fillId="0" borderId="0" xfId="0" applyFont="1" applyAlignment="1" quotePrefix="1">
      <alignment horizontal="left" vertical="top"/>
    </xf>
    <xf numFmtId="0" fontId="6" fillId="0" borderId="0" xfId="0" applyFont="1" applyAlignment="1">
      <alignment horizontal="right"/>
    </xf>
    <xf numFmtId="0" fontId="7" fillId="0" borderId="0" xfId="0" applyFont="1" applyAlignment="1">
      <alignment horizontal="left" wrapText="1"/>
    </xf>
    <xf numFmtId="43" fontId="5" fillId="0" borderId="0" xfId="0" applyNumberFormat="1" applyFont="1" applyAlignment="1">
      <alignment/>
    </xf>
    <xf numFmtId="43" fontId="5" fillId="0" borderId="0" xfId="0" applyNumberFormat="1" applyFont="1" applyAlignment="1">
      <alignment horizontal="right"/>
    </xf>
    <xf numFmtId="43" fontId="5" fillId="0" borderId="0" xfId="0" applyNumberFormat="1" applyFont="1" applyAlignment="1">
      <alignment horizontal="left"/>
    </xf>
    <xf numFmtId="0" fontId="5" fillId="0" borderId="0" xfId="0" applyFont="1" applyAlignment="1">
      <alignment/>
    </xf>
    <xf numFmtId="0" fontId="7" fillId="0" borderId="0" xfId="0" applyFont="1" applyAlignment="1">
      <alignment horizontal="center"/>
    </xf>
    <xf numFmtId="0" fontId="7" fillId="0" borderId="0" xfId="0" applyFont="1" applyAlignment="1" quotePrefix="1">
      <alignment horizontal="left"/>
    </xf>
    <xf numFmtId="0" fontId="7" fillId="0" borderId="0" xfId="0" applyFont="1" applyAlignment="1" quotePrefix="1">
      <alignment horizontal="right"/>
    </xf>
    <xf numFmtId="0" fontId="7" fillId="0" borderId="0" xfId="0" applyFont="1" applyAlignment="1">
      <alignment/>
    </xf>
    <xf numFmtId="0" fontId="6" fillId="0" borderId="0" xfId="0" applyFont="1" applyAlignment="1">
      <alignment wrapText="1"/>
    </xf>
    <xf numFmtId="164" fontId="6" fillId="0" borderId="0" xfId="0" applyNumberFormat="1" applyFont="1" applyAlignment="1">
      <alignment horizontal="left"/>
    </xf>
    <xf numFmtId="0" fontId="7" fillId="0" borderId="0" xfId="0" applyFont="1" applyAlignment="1">
      <alignment/>
    </xf>
    <xf numFmtId="164" fontId="5" fillId="0" borderId="0" xfId="0" applyNumberFormat="1" applyFont="1" applyAlignment="1">
      <alignment horizontal="left"/>
    </xf>
    <xf numFmtId="166" fontId="5" fillId="0" borderId="0" xfId="0" applyNumberFormat="1" applyFont="1" applyAlignment="1">
      <alignment/>
    </xf>
    <xf numFmtId="38" fontId="5" fillId="0" borderId="0" xfId="0" applyNumberFormat="1" applyFont="1" applyAlignment="1">
      <alignment horizontal="center"/>
    </xf>
    <xf numFmtId="168" fontId="5" fillId="0" borderId="0" xfId="0" applyNumberFormat="1" applyFont="1" applyAlignment="1">
      <alignment horizontal="left"/>
    </xf>
    <xf numFmtId="0" fontId="7" fillId="0" borderId="11" xfId="0" applyFont="1" applyBorder="1" applyAlignment="1">
      <alignment horizontal="left"/>
    </xf>
    <xf numFmtId="0" fontId="7" fillId="0" borderId="11" xfId="0" applyFont="1" applyBorder="1" applyAlignment="1">
      <alignment/>
    </xf>
    <xf numFmtId="164" fontId="7" fillId="0" borderId="10" xfId="0" applyNumberFormat="1" applyFont="1" applyBorder="1" applyAlignment="1">
      <alignment horizontal="left"/>
    </xf>
    <xf numFmtId="166" fontId="7" fillId="0" borderId="10" xfId="0" applyNumberFormat="1" applyFont="1" applyBorder="1" applyAlignment="1">
      <alignment/>
    </xf>
    <xf numFmtId="0" fontId="7" fillId="0" borderId="10" xfId="0" applyFont="1" applyBorder="1" applyAlignment="1">
      <alignment/>
    </xf>
    <xf numFmtId="164" fontId="5" fillId="0" borderId="12" xfId="0" applyNumberFormat="1" applyFont="1" applyBorder="1" applyAlignment="1">
      <alignment horizontal="left"/>
    </xf>
    <xf numFmtId="166" fontId="5" fillId="0" borderId="12" xfId="0" applyNumberFormat="1" applyFont="1" applyBorder="1" applyAlignment="1">
      <alignment/>
    </xf>
    <xf numFmtId="0" fontId="5" fillId="0" borderId="12" xfId="0" applyFont="1" applyBorder="1" applyAlignment="1">
      <alignment/>
    </xf>
    <xf numFmtId="0" fontId="7" fillId="0" borderId="0" xfId="0" applyFont="1" applyAlignment="1">
      <alignment horizontal="center"/>
    </xf>
    <xf numFmtId="0" fontId="5" fillId="0" borderId="0" xfId="0" applyFont="1" applyAlignment="1">
      <alignment horizontal="left" vertical="top" wrapText="1"/>
    </xf>
  </cellXfs>
  <cellStyles count="47">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Felaktig"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Totalt" xfId="54"/>
    <cellStyle name="Comma" xfId="55"/>
    <cellStyle name="Comma [0]" xfId="56"/>
    <cellStyle name="Utdata" xfId="57"/>
    <cellStyle name="Currency" xfId="58"/>
    <cellStyle name="Currency [0]" xfId="59"/>
    <cellStyle name="Varnings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pageSetUpPr fitToPage="1"/>
  </sheetPr>
  <dimension ref="A1:AC55"/>
  <sheetViews>
    <sheetView tabSelected="1" workbookViewId="0" topLeftCell="A1">
      <pane xSplit="1" ySplit="3" topLeftCell="B4" activePane="bottomRight" state="frozen"/>
      <selection pane="topLeft" activeCell="A1" sqref="A1"/>
      <selection pane="topRight" activeCell="B1" sqref="B1"/>
      <selection pane="bottomLeft" activeCell="A4" sqref="A4"/>
      <selection pane="bottomRight" activeCell="B54" sqref="B54"/>
    </sheetView>
  </sheetViews>
  <sheetFormatPr defaultColWidth="8.8515625" defaultRowHeight="12.75"/>
  <cols>
    <col min="1" max="1" width="24.28125" style="21" customWidth="1"/>
    <col min="2" max="2" width="13.00390625" style="2" customWidth="1"/>
    <col min="3" max="3" width="9.421875" style="2" customWidth="1"/>
    <col min="4" max="4" width="10.140625" style="2" customWidth="1"/>
    <col min="5" max="5" width="9.8515625" style="2" bestFit="1" customWidth="1"/>
    <col min="6" max="6" width="10.421875" style="2" customWidth="1"/>
    <col min="7" max="7" width="11.28125" style="2" bestFit="1" customWidth="1"/>
    <col min="8" max="8" width="12.7109375" style="2" customWidth="1"/>
    <col min="9" max="9" width="12.421875" style="2" customWidth="1"/>
    <col min="10" max="10" width="13.00390625" style="2" customWidth="1"/>
    <col min="11" max="12" width="12.421875" style="2" bestFit="1" customWidth="1"/>
    <col min="13" max="13" width="12.7109375" style="2" customWidth="1"/>
    <col min="14" max="14" width="12.28125" style="2" customWidth="1"/>
    <col min="15" max="15" width="12.421875" style="2" customWidth="1"/>
    <col min="16" max="16" width="12.28125" style="2" customWidth="1"/>
    <col min="17" max="18" width="12.140625" style="2" customWidth="1"/>
    <col min="19" max="19" width="12.8515625" style="2" customWidth="1"/>
    <col min="20" max="20" width="12.7109375" style="2" customWidth="1"/>
    <col min="21" max="21" width="12.421875" style="2" customWidth="1"/>
    <col min="22" max="22" width="14.421875" style="2" customWidth="1"/>
    <col min="23" max="23" width="12.7109375" style="2" bestFit="1" customWidth="1"/>
    <col min="24" max="24" width="12.421875" style="2" bestFit="1" customWidth="1"/>
    <col min="25" max="25" width="12.7109375" style="2" customWidth="1"/>
    <col min="26" max="26" width="12.28125" style="2" customWidth="1"/>
    <col min="27" max="27" width="12.421875" style="2" customWidth="1"/>
    <col min="28" max="28" width="13.140625" style="2" customWidth="1"/>
    <col min="29" max="29" width="20.7109375" style="2" customWidth="1"/>
    <col min="30" max="16384" width="8.8515625" style="2" customWidth="1"/>
  </cols>
  <sheetData>
    <row r="1" spans="1:26" s="28" customFormat="1" ht="13.5" customHeight="1">
      <c r="A1" s="30"/>
      <c r="B1" s="31">
        <v>2015</v>
      </c>
      <c r="G1" s="29"/>
      <c r="H1" s="32"/>
      <c r="N1" s="32">
        <v>2016</v>
      </c>
      <c r="S1" s="29"/>
      <c r="T1" s="32"/>
      <c r="Z1" s="32">
        <v>2017</v>
      </c>
    </row>
    <row r="2" spans="1:28" ht="18.75">
      <c r="A2" s="22"/>
      <c r="B2" s="1"/>
      <c r="C2" s="1"/>
      <c r="D2" s="1"/>
      <c r="F2" s="1" t="s">
        <v>45</v>
      </c>
      <c r="G2" s="3"/>
      <c r="H2" s="4"/>
      <c r="J2" s="1" t="s">
        <v>50</v>
      </c>
      <c r="M2" s="23" t="s">
        <v>49</v>
      </c>
      <c r="N2" s="1" t="s">
        <v>46</v>
      </c>
      <c r="O2" s="1"/>
      <c r="P2" s="1" t="s">
        <v>51</v>
      </c>
      <c r="Q2" s="1" t="s">
        <v>48</v>
      </c>
      <c r="R2" s="1"/>
      <c r="S2" s="1" t="s">
        <v>47</v>
      </c>
      <c r="T2" s="4"/>
      <c r="V2" s="1"/>
      <c r="Z2" s="1"/>
      <c r="AA2" s="1"/>
      <c r="AB2" s="1"/>
    </row>
    <row r="3" spans="1:29" s="7" customFormat="1" ht="15.75">
      <c r="A3" s="5"/>
      <c r="B3" s="6" t="s">
        <v>0</v>
      </c>
      <c r="C3" s="6" t="s">
        <v>1</v>
      </c>
      <c r="D3" s="6" t="s">
        <v>2</v>
      </c>
      <c r="E3" s="6" t="s">
        <v>3</v>
      </c>
      <c r="F3" s="6" t="s">
        <v>4</v>
      </c>
      <c r="G3" s="6" t="s">
        <v>5</v>
      </c>
      <c r="H3" s="6" t="s">
        <v>6</v>
      </c>
      <c r="I3" s="6" t="s">
        <v>7</v>
      </c>
      <c r="J3" s="6" t="s">
        <v>8</v>
      </c>
      <c r="K3" s="6" t="s">
        <v>9</v>
      </c>
      <c r="L3" s="6" t="s">
        <v>10</v>
      </c>
      <c r="M3" s="6" t="s">
        <v>11</v>
      </c>
      <c r="N3" s="6" t="s">
        <v>0</v>
      </c>
      <c r="O3" s="6" t="s">
        <v>1</v>
      </c>
      <c r="P3" s="6" t="s">
        <v>2</v>
      </c>
      <c r="Q3" s="6" t="s">
        <v>3</v>
      </c>
      <c r="R3" s="6" t="s">
        <v>4</v>
      </c>
      <c r="S3" s="6" t="s">
        <v>5</v>
      </c>
      <c r="T3" s="6" t="s">
        <v>6</v>
      </c>
      <c r="U3" s="6" t="s">
        <v>7</v>
      </c>
      <c r="V3" s="6" t="s">
        <v>8</v>
      </c>
      <c r="W3" s="6" t="s">
        <v>9</v>
      </c>
      <c r="X3" s="6" t="s">
        <v>10</v>
      </c>
      <c r="Y3" s="6" t="s">
        <v>11</v>
      </c>
      <c r="Z3" s="6" t="s">
        <v>0</v>
      </c>
      <c r="AA3" s="6" t="s">
        <v>1</v>
      </c>
      <c r="AB3" s="6" t="s">
        <v>56</v>
      </c>
      <c r="AC3" s="6" t="s">
        <v>34</v>
      </c>
    </row>
    <row r="4" spans="1:28" ht="15.75">
      <c r="A4" s="8" t="s">
        <v>67</v>
      </c>
      <c r="B4" s="12">
        <v>0</v>
      </c>
      <c r="C4" s="12">
        <f>B4+B15-B40</f>
        <v>1470</v>
      </c>
      <c r="D4" s="12">
        <f>2402+62299</f>
        <v>64701</v>
      </c>
      <c r="E4" s="9"/>
      <c r="F4" s="9"/>
      <c r="G4" s="9"/>
      <c r="H4" s="9"/>
      <c r="I4" s="9"/>
      <c r="J4" s="9"/>
      <c r="K4" s="9"/>
      <c r="L4" s="9"/>
      <c r="M4" s="9"/>
      <c r="N4" s="9"/>
      <c r="O4" s="9"/>
      <c r="P4" s="9"/>
      <c r="Q4" s="9"/>
      <c r="R4" s="9"/>
      <c r="S4" s="9"/>
      <c r="T4" s="9"/>
      <c r="U4" s="9"/>
      <c r="V4" s="9"/>
      <c r="W4" s="9"/>
      <c r="X4" s="9"/>
      <c r="Y4" s="9"/>
      <c r="Z4" s="9"/>
      <c r="AA4" s="9"/>
      <c r="AB4" s="9"/>
    </row>
    <row r="5" spans="1:28" s="7" customFormat="1" ht="18.75">
      <c r="A5" s="10" t="s">
        <v>12</v>
      </c>
      <c r="B5" s="11"/>
      <c r="C5" s="11"/>
      <c r="D5" s="11"/>
      <c r="E5" s="11"/>
      <c r="F5" s="11"/>
      <c r="G5" s="11"/>
      <c r="H5" s="11"/>
      <c r="I5" s="11"/>
      <c r="J5" s="11"/>
      <c r="K5" s="11"/>
      <c r="L5" s="11"/>
      <c r="M5" s="11"/>
      <c r="N5" s="11"/>
      <c r="O5" s="11"/>
      <c r="P5" s="11"/>
      <c r="Q5" s="11"/>
      <c r="R5" s="11"/>
      <c r="S5" s="11"/>
      <c r="T5" s="11"/>
      <c r="U5" s="11"/>
      <c r="V5" s="11"/>
      <c r="W5" s="11"/>
      <c r="X5" s="11"/>
      <c r="Y5" s="11"/>
      <c r="Z5" s="11"/>
      <c r="AA5" s="11"/>
      <c r="AB5" s="11"/>
    </row>
    <row r="6" spans="1:28" ht="15.75">
      <c r="A6" s="13" t="s">
        <v>13</v>
      </c>
      <c r="B6" s="12">
        <v>0</v>
      </c>
      <c r="C6" s="12">
        <v>0</v>
      </c>
      <c r="D6" s="12">
        <v>0</v>
      </c>
      <c r="E6" s="12">
        <v>0</v>
      </c>
      <c r="F6" s="12">
        <f>B47*B43/4</f>
        <v>218750</v>
      </c>
      <c r="G6" s="12">
        <f>B47*B43/4</f>
        <v>218750</v>
      </c>
      <c r="H6" s="12">
        <f>B47*B43/4</f>
        <v>218750</v>
      </c>
      <c r="I6" s="12">
        <f>B47*B43/8</f>
        <v>109375</v>
      </c>
      <c r="J6" s="12">
        <f>B47*B43/8+B48*B43/2</f>
        <v>1246875</v>
      </c>
      <c r="K6" s="12">
        <f>B48*B43/2</f>
        <v>1137500</v>
      </c>
      <c r="L6" s="12">
        <v>0</v>
      </c>
      <c r="M6" s="12">
        <f>(B47+B48)*B44</f>
        <v>0</v>
      </c>
      <c r="N6" s="12">
        <f>B49*B43/2</f>
        <v>875000</v>
      </c>
      <c r="O6" s="12">
        <f>B49*(B43/2+B44)</f>
        <v>875000</v>
      </c>
      <c r="P6" s="12">
        <f>(B47+B48+B49)*B45</f>
        <v>0</v>
      </c>
      <c r="Q6" s="12">
        <f>B50*(B43/2+B44/2)</f>
        <v>525000</v>
      </c>
      <c r="R6" s="12">
        <f>B50*(B43/2+B44/2+B45)</f>
        <v>525000</v>
      </c>
      <c r="S6" s="12"/>
      <c r="T6" s="12"/>
      <c r="U6" s="12"/>
      <c r="V6" s="12"/>
      <c r="W6" s="12"/>
      <c r="X6" s="12">
        <v>0</v>
      </c>
      <c r="Y6" s="12">
        <v>0</v>
      </c>
      <c r="Z6" s="12">
        <v>0</v>
      </c>
      <c r="AA6" s="12"/>
      <c r="AB6" s="12">
        <f>SUM(B6:AA6)</f>
        <v>5950000</v>
      </c>
    </row>
    <row r="7" spans="1:28" ht="15.75">
      <c r="A7" s="13" t="s">
        <v>32</v>
      </c>
      <c r="B7" s="12">
        <v>0</v>
      </c>
      <c r="C7" s="12">
        <v>0</v>
      </c>
      <c r="D7" s="12">
        <f>9*100</f>
        <v>900</v>
      </c>
      <c r="E7" s="12">
        <f>10*100</f>
        <v>1000</v>
      </c>
      <c r="F7" s="12">
        <f>100*100</f>
        <v>10000</v>
      </c>
      <c r="G7" s="12">
        <f>100*100</f>
        <v>10000</v>
      </c>
      <c r="H7" s="12">
        <f>100*100</f>
        <v>10000</v>
      </c>
      <c r="I7" s="12">
        <f>50*100</f>
        <v>5000</v>
      </c>
      <c r="J7" s="12">
        <f>31*100</f>
        <v>3100</v>
      </c>
      <c r="K7" s="12"/>
      <c r="L7" s="12"/>
      <c r="M7" s="12"/>
      <c r="N7" s="12">
        <f>100*(B43+B44)/2</f>
        <v>17500</v>
      </c>
      <c r="O7" s="12">
        <f>100*(B43+B44)/2</f>
        <v>17500</v>
      </c>
      <c r="P7" s="12"/>
      <c r="Q7" s="12">
        <f>B45*100</f>
        <v>0</v>
      </c>
      <c r="R7" s="12"/>
      <c r="S7" s="12"/>
      <c r="T7" s="12"/>
      <c r="U7" s="12"/>
      <c r="V7" s="12"/>
      <c r="W7" s="12"/>
      <c r="X7" s="12"/>
      <c r="Y7" s="12"/>
      <c r="Z7" s="12"/>
      <c r="AA7" s="12"/>
      <c r="AB7" s="12">
        <f aca="true" t="shared" si="0" ref="AB7:AB14">SUM(B7:AA7)</f>
        <v>75000</v>
      </c>
    </row>
    <row r="8" spans="1:28" ht="15.75">
      <c r="A8" s="13" t="s">
        <v>14</v>
      </c>
      <c r="B8" s="12">
        <v>0</v>
      </c>
      <c r="C8" s="12">
        <v>0</v>
      </c>
      <c r="D8" s="12">
        <v>0</v>
      </c>
      <c r="E8" s="12">
        <v>0</v>
      </c>
      <c r="F8" s="12">
        <v>0</v>
      </c>
      <c r="G8" s="12">
        <v>0</v>
      </c>
      <c r="H8" s="12">
        <v>0</v>
      </c>
      <c r="I8" s="12">
        <v>0</v>
      </c>
      <c r="J8" s="12">
        <v>0</v>
      </c>
      <c r="K8" s="12">
        <v>0</v>
      </c>
      <c r="L8" s="12">
        <v>0</v>
      </c>
      <c r="M8" s="12">
        <v>0</v>
      </c>
      <c r="N8" s="12">
        <v>0</v>
      </c>
      <c r="O8" s="12">
        <v>0</v>
      </c>
      <c r="P8" s="12">
        <v>0</v>
      </c>
      <c r="Q8" s="12">
        <v>0</v>
      </c>
      <c r="R8" s="12">
        <v>0</v>
      </c>
      <c r="S8" s="12">
        <f>B51*(B43/4+B44/4+B45/4)</f>
        <v>175000</v>
      </c>
      <c r="T8" s="12">
        <f>B51*(B43/4+B44/4+B45/4)</f>
        <v>175000</v>
      </c>
      <c r="U8" s="12">
        <f>B51*(B43/2+B44/2+B45/2)</f>
        <v>350000</v>
      </c>
      <c r="V8" s="12">
        <v>0</v>
      </c>
      <c r="W8" s="12">
        <v>0</v>
      </c>
      <c r="X8" s="12">
        <v>0</v>
      </c>
      <c r="Y8" s="12">
        <v>0</v>
      </c>
      <c r="Z8" s="12">
        <v>0</v>
      </c>
      <c r="AA8" s="12">
        <v>0</v>
      </c>
      <c r="AB8" s="12">
        <f t="shared" si="0"/>
        <v>700000</v>
      </c>
    </row>
    <row r="9" spans="1:28" ht="15.75">
      <c r="A9" s="13" t="s">
        <v>15</v>
      </c>
      <c r="B9" s="12">
        <v>0</v>
      </c>
      <c r="C9" s="12">
        <v>0</v>
      </c>
      <c r="D9" s="12">
        <v>0</v>
      </c>
      <c r="E9" s="12">
        <v>0</v>
      </c>
      <c r="F9" s="12">
        <v>0</v>
      </c>
      <c r="G9" s="12">
        <v>0</v>
      </c>
      <c r="H9" s="12">
        <v>0</v>
      </c>
      <c r="I9" s="12">
        <v>0</v>
      </c>
      <c r="J9" s="12">
        <v>0</v>
      </c>
      <c r="K9" s="12">
        <v>0</v>
      </c>
      <c r="L9" s="12">
        <v>0</v>
      </c>
      <c r="M9" s="12">
        <v>0</v>
      </c>
      <c r="N9" s="12"/>
      <c r="O9" s="12"/>
      <c r="P9" s="12"/>
      <c r="Q9" s="12"/>
      <c r="R9" s="12"/>
      <c r="S9" s="12"/>
      <c r="T9" s="12"/>
      <c r="U9" s="12"/>
      <c r="V9" s="25">
        <f>((B43+B44+B45)*B46*0.8)*4</f>
        <v>78400</v>
      </c>
      <c r="W9" s="12">
        <v>0</v>
      </c>
      <c r="X9" s="12">
        <v>0</v>
      </c>
      <c r="Y9" s="12">
        <v>0</v>
      </c>
      <c r="Z9" s="12">
        <f>((B43+B44+B45)*B46*0.8)*4</f>
        <v>78400</v>
      </c>
      <c r="AA9" s="12">
        <v>0</v>
      </c>
      <c r="AB9" s="12">
        <f t="shared" si="0"/>
        <v>156800</v>
      </c>
    </row>
    <row r="10" spans="1:28" ht="15.75">
      <c r="A10" s="13" t="s">
        <v>16</v>
      </c>
      <c r="B10" s="12">
        <v>0</v>
      </c>
      <c r="C10" s="12">
        <v>0</v>
      </c>
      <c r="D10" s="12">
        <v>0</v>
      </c>
      <c r="E10" s="12">
        <v>0</v>
      </c>
      <c r="F10" s="12">
        <v>0</v>
      </c>
      <c r="G10" s="12">
        <v>0</v>
      </c>
      <c r="H10" s="12">
        <v>50000</v>
      </c>
      <c r="I10" s="12">
        <v>0</v>
      </c>
      <c r="J10" s="12">
        <f>40*(B43+B44+B45)*60</f>
        <v>840000</v>
      </c>
      <c r="K10" s="12">
        <v>0</v>
      </c>
      <c r="L10" s="12">
        <v>0</v>
      </c>
      <c r="M10" s="12">
        <v>0</v>
      </c>
      <c r="N10" s="12"/>
      <c r="O10" s="12"/>
      <c r="P10" s="12"/>
      <c r="Q10" s="12"/>
      <c r="R10" s="12"/>
      <c r="S10" s="12"/>
      <c r="T10" s="12"/>
      <c r="U10" s="12"/>
      <c r="V10" s="12"/>
      <c r="W10" s="12"/>
      <c r="X10" s="12">
        <v>0</v>
      </c>
      <c r="Y10" s="12">
        <v>0</v>
      </c>
      <c r="Z10" s="12"/>
      <c r="AA10" s="12"/>
      <c r="AB10" s="12">
        <f t="shared" si="0"/>
        <v>890000</v>
      </c>
    </row>
    <row r="11" spans="1:28" ht="15.75">
      <c r="A11" s="13" t="s">
        <v>17</v>
      </c>
      <c r="B11" s="12">
        <v>0</v>
      </c>
      <c r="C11" s="12">
        <v>0</v>
      </c>
      <c r="D11" s="12">
        <v>0</v>
      </c>
      <c r="E11" s="12">
        <v>0</v>
      </c>
      <c r="F11" s="12">
        <v>0</v>
      </c>
      <c r="G11" s="12">
        <v>0</v>
      </c>
      <c r="H11" s="12">
        <v>0</v>
      </c>
      <c r="I11" s="12">
        <v>0</v>
      </c>
      <c r="J11" s="12">
        <v>0</v>
      </c>
      <c r="K11" s="12">
        <v>0</v>
      </c>
      <c r="L11" s="12">
        <v>0</v>
      </c>
      <c r="M11" s="12">
        <v>0</v>
      </c>
      <c r="N11" s="12"/>
      <c r="O11" s="12">
        <f>1700000</f>
        <v>1700000</v>
      </c>
      <c r="P11" s="12"/>
      <c r="Q11" s="12"/>
      <c r="R11" s="12"/>
      <c r="S11" s="12"/>
      <c r="T11" s="12"/>
      <c r="U11" s="12"/>
      <c r="V11" s="12">
        <v>1700000</v>
      </c>
      <c r="W11" s="12"/>
      <c r="X11" s="12">
        <v>0</v>
      </c>
      <c r="Y11" s="12">
        <v>0</v>
      </c>
      <c r="Z11" s="12"/>
      <c r="AA11" s="12"/>
      <c r="AB11" s="12">
        <f t="shared" si="0"/>
        <v>3400000</v>
      </c>
    </row>
    <row r="12" spans="1:28" ht="15.75">
      <c r="A12" s="13" t="s">
        <v>18</v>
      </c>
      <c r="B12" s="12">
        <v>0</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c r="AB12" s="12">
        <f t="shared" si="0"/>
        <v>0</v>
      </c>
    </row>
    <row r="13" spans="1:28" ht="15.75">
      <c r="A13" s="13" t="s">
        <v>39</v>
      </c>
      <c r="B13" s="12">
        <f aca="true" t="shared" si="1" ref="B13:G13">SUM(B8:B10)*0.25</f>
        <v>0</v>
      </c>
      <c r="C13" s="12">
        <f t="shared" si="1"/>
        <v>0</v>
      </c>
      <c r="D13" s="12">
        <f t="shared" si="1"/>
        <v>0</v>
      </c>
      <c r="E13" s="12">
        <f t="shared" si="1"/>
        <v>0</v>
      </c>
      <c r="F13" s="12">
        <f t="shared" si="1"/>
        <v>0</v>
      </c>
      <c r="G13" s="12">
        <f t="shared" si="1"/>
        <v>0</v>
      </c>
      <c r="H13" s="12">
        <f aca="true" t="shared" si="2" ref="H13:M13">SUM(H9:H11)*0.25</f>
        <v>12500</v>
      </c>
      <c r="I13" s="12">
        <f t="shared" si="2"/>
        <v>0</v>
      </c>
      <c r="J13" s="12">
        <f t="shared" si="2"/>
        <v>210000</v>
      </c>
      <c r="K13" s="12">
        <f t="shared" si="2"/>
        <v>0</v>
      </c>
      <c r="L13" s="12">
        <f t="shared" si="2"/>
        <v>0</v>
      </c>
      <c r="M13" s="12">
        <f t="shared" si="2"/>
        <v>0</v>
      </c>
      <c r="N13" s="12">
        <f aca="true" t="shared" si="3" ref="N13:S13">SUM(N8:N10)*0.25</f>
        <v>0</v>
      </c>
      <c r="O13" s="12">
        <f t="shared" si="3"/>
        <v>0</v>
      </c>
      <c r="P13" s="12">
        <f t="shared" si="3"/>
        <v>0</v>
      </c>
      <c r="Q13" s="12">
        <f t="shared" si="3"/>
        <v>0</v>
      </c>
      <c r="R13" s="12">
        <f t="shared" si="3"/>
        <v>0</v>
      </c>
      <c r="S13" s="12">
        <f t="shared" si="3"/>
        <v>43750</v>
      </c>
      <c r="T13" s="12">
        <f>SUM(T9:T11)*0.25</f>
        <v>0</v>
      </c>
      <c r="U13" s="12">
        <f>SUM(U9:U11)*0.25</f>
        <v>0</v>
      </c>
      <c r="V13" s="12">
        <f>SUM(V8:V11)*0.25</f>
        <v>444600</v>
      </c>
      <c r="W13" s="12">
        <f>SUM(W8:W11)*0.25</f>
        <v>0</v>
      </c>
      <c r="X13" s="12">
        <f>SUM(X9:X11)*0.25</f>
        <v>0</v>
      </c>
      <c r="Y13" s="12">
        <f>SUM(Y9:Y11)*0.25</f>
        <v>0</v>
      </c>
      <c r="Z13" s="12">
        <f>SUM(Z8:Z10)*0.25</f>
        <v>19600</v>
      </c>
      <c r="AA13" s="12">
        <f>SUM(AA8:AA10)*0.25</f>
        <v>0</v>
      </c>
      <c r="AB13" s="12">
        <f t="shared" si="0"/>
        <v>730450</v>
      </c>
    </row>
    <row r="14" spans="1:28" ht="16.5" thickBot="1">
      <c r="A14" s="13" t="s">
        <v>42</v>
      </c>
      <c r="B14" s="12">
        <f>0</f>
        <v>0</v>
      </c>
      <c r="C14" s="12">
        <v>0</v>
      </c>
      <c r="D14" s="12">
        <v>0</v>
      </c>
      <c r="E14" s="12">
        <v>0</v>
      </c>
      <c r="F14" s="12">
        <v>0</v>
      </c>
      <c r="G14" s="12">
        <v>0</v>
      </c>
      <c r="H14" s="12">
        <v>0</v>
      </c>
      <c r="I14" s="12">
        <f aca="true" t="shared" si="4" ref="I14:AA14">IF(G13+G38&lt;0,-(G13+G38),0)</f>
        <v>78365</v>
      </c>
      <c r="J14" s="12">
        <f t="shared" si="4"/>
        <v>46425</v>
      </c>
      <c r="K14" s="12">
        <f t="shared" si="4"/>
        <v>940</v>
      </c>
      <c r="L14" s="12">
        <f t="shared" si="4"/>
        <v>0</v>
      </c>
      <c r="M14" s="12">
        <f t="shared" si="4"/>
        <v>175440</v>
      </c>
      <c r="N14" s="12">
        <f t="shared" si="4"/>
        <v>190325</v>
      </c>
      <c r="O14" s="12">
        <f t="shared" si="4"/>
        <v>190565</v>
      </c>
      <c r="P14" s="12">
        <f t="shared" si="4"/>
        <v>191299</v>
      </c>
      <c r="Q14" s="12">
        <f t="shared" si="4"/>
        <v>191916.66666666666</v>
      </c>
      <c r="R14" s="12">
        <f t="shared" si="4"/>
        <v>190625</v>
      </c>
      <c r="S14" s="12">
        <f t="shared" si="4"/>
        <v>192372.46666666667</v>
      </c>
      <c r="T14" s="12">
        <f t="shared" si="4"/>
        <v>191075</v>
      </c>
      <c r="U14" s="12">
        <f t="shared" si="4"/>
        <v>147432.5</v>
      </c>
      <c r="V14" s="12">
        <f t="shared" si="4"/>
        <v>190932.5</v>
      </c>
      <c r="W14" s="12">
        <f t="shared" si="4"/>
        <v>191756.66666666666</v>
      </c>
      <c r="X14" s="12">
        <f t="shared" si="4"/>
        <v>0</v>
      </c>
      <c r="Y14" s="12">
        <f t="shared" si="4"/>
        <v>941.6666666666666</v>
      </c>
      <c r="Z14" s="12">
        <f t="shared" si="4"/>
        <v>775</v>
      </c>
      <c r="AA14" s="12">
        <f t="shared" si="4"/>
        <v>941.6666666666666</v>
      </c>
      <c r="AB14" s="12">
        <f t="shared" si="0"/>
        <v>2172128.133333333</v>
      </c>
    </row>
    <row r="15" spans="1:28" s="16" customFormat="1" ht="15.75">
      <c r="A15" s="14" t="s">
        <v>19</v>
      </c>
      <c r="B15" s="15">
        <f aca="true" t="shared" si="5" ref="B15:AA15">SUM(B6:B14)</f>
        <v>0</v>
      </c>
      <c r="C15" s="15">
        <f t="shared" si="5"/>
        <v>0</v>
      </c>
      <c r="D15" s="15">
        <f t="shared" si="5"/>
        <v>900</v>
      </c>
      <c r="E15" s="15">
        <f t="shared" si="5"/>
        <v>1000</v>
      </c>
      <c r="F15" s="15">
        <f t="shared" si="5"/>
        <v>228750</v>
      </c>
      <c r="G15" s="15">
        <f t="shared" si="5"/>
        <v>228750</v>
      </c>
      <c r="H15" s="15">
        <f t="shared" si="5"/>
        <v>291250</v>
      </c>
      <c r="I15" s="15">
        <f t="shared" si="5"/>
        <v>192740</v>
      </c>
      <c r="J15" s="15">
        <f t="shared" si="5"/>
        <v>2346400</v>
      </c>
      <c r="K15" s="15">
        <f t="shared" si="5"/>
        <v>1138440</v>
      </c>
      <c r="L15" s="15">
        <f t="shared" si="5"/>
        <v>0</v>
      </c>
      <c r="M15" s="15">
        <f t="shared" si="5"/>
        <v>175440</v>
      </c>
      <c r="N15" s="15">
        <f t="shared" si="5"/>
        <v>1082825</v>
      </c>
      <c r="O15" s="15">
        <f t="shared" si="5"/>
        <v>2783065</v>
      </c>
      <c r="P15" s="15">
        <f t="shared" si="5"/>
        <v>191299</v>
      </c>
      <c r="Q15" s="15">
        <f t="shared" si="5"/>
        <v>716916.6666666666</v>
      </c>
      <c r="R15" s="15">
        <f t="shared" si="5"/>
        <v>715625</v>
      </c>
      <c r="S15" s="15">
        <f t="shared" si="5"/>
        <v>411122.4666666667</v>
      </c>
      <c r="T15" s="15">
        <f t="shared" si="5"/>
        <v>366075</v>
      </c>
      <c r="U15" s="15">
        <f t="shared" si="5"/>
        <v>497432.5</v>
      </c>
      <c r="V15" s="15">
        <f t="shared" si="5"/>
        <v>2413932.5</v>
      </c>
      <c r="W15" s="15">
        <f t="shared" si="5"/>
        <v>191756.66666666666</v>
      </c>
      <c r="X15" s="15">
        <f t="shared" si="5"/>
        <v>0</v>
      </c>
      <c r="Y15" s="15">
        <f t="shared" si="5"/>
        <v>941.6666666666666</v>
      </c>
      <c r="Z15" s="15">
        <f t="shared" si="5"/>
        <v>98775</v>
      </c>
      <c r="AA15" s="15">
        <f t="shared" si="5"/>
        <v>941.6666666666666</v>
      </c>
      <c r="AB15" s="15"/>
    </row>
    <row r="16" spans="1:28" s="7" customFormat="1" ht="20.25">
      <c r="A16" s="17" t="s">
        <v>20</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row>
    <row r="17" spans="1:29" ht="15.75">
      <c r="A17" s="13" t="s">
        <v>82</v>
      </c>
      <c r="B17" s="12">
        <v>0</v>
      </c>
      <c r="C17" s="12">
        <v>0</v>
      </c>
      <c r="D17" s="12">
        <v>0</v>
      </c>
      <c r="E17" s="12">
        <v>0</v>
      </c>
      <c r="F17" s="12">
        <v>0</v>
      </c>
      <c r="G17" s="12">
        <v>-69000</v>
      </c>
      <c r="H17" s="12">
        <v>0</v>
      </c>
      <c r="I17" s="12">
        <v>0</v>
      </c>
      <c r="J17" s="12">
        <v>-300000</v>
      </c>
      <c r="K17" s="12">
        <v>-300000</v>
      </c>
      <c r="L17" s="12">
        <v>-300000</v>
      </c>
      <c r="M17" s="12">
        <v>-300000</v>
      </c>
      <c r="N17" s="12">
        <v>-300000</v>
      </c>
      <c r="O17" s="12">
        <v>-300000</v>
      </c>
      <c r="P17" s="12">
        <v>-300000</v>
      </c>
      <c r="Q17" s="12">
        <v>-300000</v>
      </c>
      <c r="R17" s="12">
        <v>-300000</v>
      </c>
      <c r="S17" s="12">
        <v>-300000</v>
      </c>
      <c r="T17" s="12">
        <v>-300000</v>
      </c>
      <c r="U17" s="12">
        <v>-300000</v>
      </c>
      <c r="V17" s="12"/>
      <c r="W17" s="12"/>
      <c r="X17" s="12"/>
      <c r="Y17" s="12"/>
      <c r="Z17" s="12"/>
      <c r="AA17" s="12"/>
      <c r="AB17" s="12">
        <f>SUM(B17:AA17)</f>
        <v>-3669000</v>
      </c>
      <c r="AC17" s="33">
        <v>3.6</v>
      </c>
    </row>
    <row r="18" spans="1:29" ht="15.75">
      <c r="A18" s="13" t="s">
        <v>83</v>
      </c>
      <c r="B18" s="12">
        <v>0</v>
      </c>
      <c r="C18" s="12">
        <v>0</v>
      </c>
      <c r="D18" s="12">
        <v>0</v>
      </c>
      <c r="E18" s="12">
        <v>0</v>
      </c>
      <c r="F18" s="12">
        <v>0</v>
      </c>
      <c r="G18" s="12">
        <f>-380000/2</f>
        <v>-190000</v>
      </c>
      <c r="H18" s="12">
        <f>-380000/2</f>
        <v>-190000</v>
      </c>
      <c r="I18" s="12">
        <v>0</v>
      </c>
      <c r="J18" s="12">
        <v>-400000</v>
      </c>
      <c r="K18" s="12">
        <v>-400000</v>
      </c>
      <c r="L18" s="12">
        <v>-460000</v>
      </c>
      <c r="M18" s="12">
        <v>-460000</v>
      </c>
      <c r="N18" s="12">
        <v>-460000</v>
      </c>
      <c r="O18" s="12">
        <v>-460000</v>
      </c>
      <c r="P18" s="12">
        <v>-460000</v>
      </c>
      <c r="Q18" s="12">
        <v>-460000</v>
      </c>
      <c r="R18" s="12">
        <v>-460000</v>
      </c>
      <c r="S18" s="12">
        <v>-460000</v>
      </c>
      <c r="T18" s="12">
        <v>-460000</v>
      </c>
      <c r="U18" s="12">
        <v>-460000</v>
      </c>
      <c r="V18" s="12"/>
      <c r="W18" s="12"/>
      <c r="X18" s="12"/>
      <c r="Y18" s="12"/>
      <c r="Z18" s="12"/>
      <c r="AA18" s="12"/>
      <c r="AB18" s="12">
        <f>SUM(B18:AA18)</f>
        <v>-5780000</v>
      </c>
      <c r="AC18" s="33">
        <v>5.75</v>
      </c>
    </row>
    <row r="19" spans="1:29" ht="15.75">
      <c r="A19" s="13" t="s">
        <v>84</v>
      </c>
      <c r="B19" s="12"/>
      <c r="C19" s="38">
        <v>-24000</v>
      </c>
      <c r="D19" s="12"/>
      <c r="E19" s="12"/>
      <c r="F19" s="12"/>
      <c r="G19" s="12">
        <f>-7800+0.5*0.2*(G18+H18+G17+H17)</f>
        <v>-52700</v>
      </c>
      <c r="H19" s="12">
        <f>0.5*0.2*(G18+H18+G17+H17)</f>
        <v>-44900</v>
      </c>
      <c r="I19" s="12">
        <v>0</v>
      </c>
      <c r="J19" s="12"/>
      <c r="K19" s="12"/>
      <c r="L19" s="12"/>
      <c r="M19" s="12"/>
      <c r="N19" s="12"/>
      <c r="O19" s="12"/>
      <c r="P19" s="12"/>
      <c r="Q19" s="12"/>
      <c r="R19" s="12"/>
      <c r="S19" s="12"/>
      <c r="T19" s="12"/>
      <c r="U19" s="12"/>
      <c r="V19" s="12">
        <v>-140000</v>
      </c>
      <c r="W19" s="12"/>
      <c r="X19" s="12"/>
      <c r="Y19" s="12"/>
      <c r="Z19" s="12"/>
      <c r="AA19" s="12"/>
      <c r="AB19" s="12">
        <f>SUM(B19:AA19)</f>
        <v>-261600</v>
      </c>
      <c r="AC19" s="33"/>
    </row>
    <row r="20" spans="1:28" ht="15.75">
      <c r="A20" s="13" t="s">
        <v>21</v>
      </c>
      <c r="B20" s="12">
        <v>0</v>
      </c>
      <c r="C20" s="12">
        <v>0</v>
      </c>
      <c r="D20" s="12">
        <v>0</v>
      </c>
      <c r="E20" s="12">
        <v>0</v>
      </c>
      <c r="F20" s="12">
        <v>0</v>
      </c>
      <c r="G20" s="12">
        <v>0</v>
      </c>
      <c r="H20" s="12">
        <v>0</v>
      </c>
      <c r="I20" s="12">
        <v>0</v>
      </c>
      <c r="J20" s="12">
        <v>0</v>
      </c>
      <c r="K20" s="12">
        <v>0</v>
      </c>
      <c r="L20" s="12">
        <v>0</v>
      </c>
      <c r="M20" s="12">
        <v>0</v>
      </c>
      <c r="N20" s="12">
        <v>0</v>
      </c>
      <c r="O20" s="12">
        <v>0</v>
      </c>
      <c r="P20" s="12">
        <v>0</v>
      </c>
      <c r="Q20" s="12">
        <v>0</v>
      </c>
      <c r="R20" s="12">
        <v>0</v>
      </c>
      <c r="S20" s="12">
        <v>0</v>
      </c>
      <c r="T20" s="12">
        <v>0</v>
      </c>
      <c r="U20" s="12">
        <v>0</v>
      </c>
      <c r="V20" s="12">
        <v>0</v>
      </c>
      <c r="W20" s="12">
        <v>0</v>
      </c>
      <c r="X20" s="12">
        <v>0</v>
      </c>
      <c r="Y20" s="12">
        <v>0</v>
      </c>
      <c r="Z20" s="12">
        <v>0</v>
      </c>
      <c r="AA20" s="12">
        <v>0</v>
      </c>
      <c r="AB20" s="12">
        <f aca="true" t="shared" si="6" ref="AB20:AB39">SUM(B20:AA20)</f>
        <v>0</v>
      </c>
    </row>
    <row r="21" spans="1:28" ht="15.75">
      <c r="A21" s="13" t="s">
        <v>22</v>
      </c>
      <c r="B21" s="12">
        <v>0</v>
      </c>
      <c r="C21" s="12">
        <v>0</v>
      </c>
      <c r="D21" s="12">
        <v>0</v>
      </c>
      <c r="E21" s="12">
        <v>0</v>
      </c>
      <c r="F21" s="12">
        <v>0</v>
      </c>
      <c r="G21" s="12">
        <v>0</v>
      </c>
      <c r="H21" s="12">
        <v>0</v>
      </c>
      <c r="I21" s="12">
        <v>0</v>
      </c>
      <c r="J21" s="12">
        <v>0</v>
      </c>
      <c r="K21" s="12">
        <v>0</v>
      </c>
      <c r="L21" s="12">
        <v>0</v>
      </c>
      <c r="M21" s="12">
        <v>0</v>
      </c>
      <c r="N21" s="12">
        <v>0</v>
      </c>
      <c r="O21" s="12">
        <v>0</v>
      </c>
      <c r="P21" s="12">
        <v>0</v>
      </c>
      <c r="Q21" s="12">
        <v>0</v>
      </c>
      <c r="R21" s="12">
        <v>0</v>
      </c>
      <c r="S21" s="12">
        <v>0</v>
      </c>
      <c r="T21" s="12">
        <v>0</v>
      </c>
      <c r="U21" s="12">
        <v>0</v>
      </c>
      <c r="V21" s="12">
        <v>0</v>
      </c>
      <c r="W21" s="12">
        <v>0</v>
      </c>
      <c r="X21" s="12">
        <v>0</v>
      </c>
      <c r="Y21" s="12">
        <v>0</v>
      </c>
      <c r="Z21" s="12">
        <v>0</v>
      </c>
      <c r="AA21" s="12">
        <v>0</v>
      </c>
      <c r="AB21" s="12">
        <f t="shared" si="6"/>
        <v>0</v>
      </c>
    </row>
    <row r="22" spans="1:28" ht="15.75">
      <c r="A22" s="13" t="s">
        <v>23</v>
      </c>
      <c r="B22" s="12">
        <v>0</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c r="AB22" s="12">
        <f t="shared" si="6"/>
        <v>0</v>
      </c>
    </row>
    <row r="23" spans="1:28" ht="15.75">
      <c r="A23" s="13" t="s">
        <v>24</v>
      </c>
      <c r="B23" s="12">
        <v>0</v>
      </c>
      <c r="C23" s="12">
        <v>0</v>
      </c>
      <c r="D23" s="12">
        <v>0</v>
      </c>
      <c r="E23" s="12">
        <v>0</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c r="AB23" s="12">
        <f t="shared" si="6"/>
        <v>0</v>
      </c>
    </row>
    <row r="24" spans="1:28" ht="31.5">
      <c r="A24" s="24" t="s">
        <v>63</v>
      </c>
      <c r="B24" s="12">
        <v>0</v>
      </c>
      <c r="C24" s="12">
        <v>0</v>
      </c>
      <c r="D24" s="12">
        <v>0</v>
      </c>
      <c r="E24" s="12">
        <v>0</v>
      </c>
      <c r="F24" s="12">
        <v>0</v>
      </c>
      <c r="G24" s="12">
        <v>0</v>
      </c>
      <c r="H24" s="12">
        <v>0</v>
      </c>
      <c r="I24" s="12">
        <v>0</v>
      </c>
      <c r="J24" s="12">
        <v>0</v>
      </c>
      <c r="K24" s="12">
        <v>0</v>
      </c>
      <c r="L24" s="12">
        <v>-500</v>
      </c>
      <c r="M24" s="12">
        <v>-500</v>
      </c>
      <c r="N24" s="12">
        <v>-300</v>
      </c>
      <c r="O24" s="12">
        <f>-300-4000/6</f>
        <v>-966.6666666666666</v>
      </c>
      <c r="P24" s="12">
        <f>-300</f>
        <v>-300</v>
      </c>
      <c r="Q24" s="12">
        <f>-3*300-4000/6</f>
        <v>-1566.6666666666665</v>
      </c>
      <c r="R24" s="12">
        <f>-3*300</f>
        <v>-900</v>
      </c>
      <c r="S24" s="12">
        <f>-3*300-4000/4</f>
        <v>-1900</v>
      </c>
      <c r="T24" s="12">
        <f>-3*300</f>
        <v>-900</v>
      </c>
      <c r="U24" s="12">
        <f>-3*300-4000/6</f>
        <v>-1566.6666666666665</v>
      </c>
      <c r="V24" s="12">
        <f>-3*300</f>
        <v>-900</v>
      </c>
      <c r="W24" s="12">
        <f>-3*300-4000/6</f>
        <v>-1566.6666666666665</v>
      </c>
      <c r="X24" s="12">
        <f>-3*300</f>
        <v>-900</v>
      </c>
      <c r="Y24" s="12">
        <f>-3*300-4000/6</f>
        <v>-1566.6666666666665</v>
      </c>
      <c r="Z24" s="12">
        <f>-3*300</f>
        <v>-900</v>
      </c>
      <c r="AA24" s="12">
        <f>-3*300-4000/6</f>
        <v>-1566.6666666666665</v>
      </c>
      <c r="AB24" s="12">
        <f t="shared" si="6"/>
        <v>-16800</v>
      </c>
    </row>
    <row r="25" spans="1:28" ht="15.75">
      <c r="A25" s="13" t="s">
        <v>25</v>
      </c>
      <c r="B25" s="12">
        <v>0</v>
      </c>
      <c r="C25" s="12">
        <v>0</v>
      </c>
      <c r="D25" s="12">
        <v>0</v>
      </c>
      <c r="E25" s="12">
        <v>0</v>
      </c>
      <c r="F25" s="12">
        <v>0</v>
      </c>
      <c r="G25" s="12">
        <v>0</v>
      </c>
      <c r="H25" s="12">
        <v>0</v>
      </c>
      <c r="I25" s="12">
        <v>0</v>
      </c>
      <c r="J25" s="12">
        <v>0</v>
      </c>
      <c r="K25" s="12">
        <v>0</v>
      </c>
      <c r="L25" s="12">
        <v>0</v>
      </c>
      <c r="M25" s="12">
        <v>0</v>
      </c>
      <c r="N25" s="12">
        <v>0</v>
      </c>
      <c r="O25" s="12">
        <v>0</v>
      </c>
      <c r="P25" s="12">
        <v>0</v>
      </c>
      <c r="Q25" s="12">
        <v>0</v>
      </c>
      <c r="R25" s="12">
        <v>0</v>
      </c>
      <c r="S25" s="12">
        <v>0</v>
      </c>
      <c r="T25" s="12">
        <v>0</v>
      </c>
      <c r="U25" s="12">
        <v>0</v>
      </c>
      <c r="V25" s="12">
        <v>0</v>
      </c>
      <c r="W25" s="12">
        <v>0</v>
      </c>
      <c r="X25" s="12">
        <v>0</v>
      </c>
      <c r="Y25" s="12">
        <v>0</v>
      </c>
      <c r="Z25" s="12">
        <v>0</v>
      </c>
      <c r="AA25" s="12">
        <v>0</v>
      </c>
      <c r="AB25" s="12">
        <f t="shared" si="6"/>
        <v>0</v>
      </c>
    </row>
    <row r="26" spans="1:28" ht="15.75">
      <c r="A26" s="13" t="s">
        <v>40</v>
      </c>
      <c r="B26" s="12">
        <v>-800</v>
      </c>
      <c r="C26" s="12">
        <v>-800</v>
      </c>
      <c r="D26" s="12">
        <v>-800</v>
      </c>
      <c r="E26" s="12">
        <v>-800</v>
      </c>
      <c r="F26" s="12">
        <v>-800</v>
      </c>
      <c r="G26" s="12">
        <v>-800</v>
      </c>
      <c r="H26" s="12">
        <v>-800</v>
      </c>
      <c r="I26" s="12">
        <v>-800</v>
      </c>
      <c r="J26" s="12">
        <v>-800</v>
      </c>
      <c r="K26" s="12">
        <v>-800</v>
      </c>
      <c r="L26" s="12">
        <v>-800</v>
      </c>
      <c r="M26" s="12">
        <v>-800</v>
      </c>
      <c r="N26" s="12">
        <v>-800</v>
      </c>
      <c r="O26" s="12">
        <v>-800</v>
      </c>
      <c r="P26" s="12">
        <v>-800</v>
      </c>
      <c r="Q26" s="12">
        <v>-800</v>
      </c>
      <c r="R26" s="12">
        <v>-800</v>
      </c>
      <c r="S26" s="12">
        <v>-800</v>
      </c>
      <c r="T26" s="12">
        <v>-800</v>
      </c>
      <c r="U26" s="12">
        <v>-800</v>
      </c>
      <c r="V26" s="12">
        <v>-800</v>
      </c>
      <c r="W26" s="12">
        <v>-800</v>
      </c>
      <c r="X26" s="12">
        <v>-800</v>
      </c>
      <c r="Y26" s="12">
        <v>-800</v>
      </c>
      <c r="Z26" s="12">
        <v>-800</v>
      </c>
      <c r="AA26" s="12">
        <v>-800</v>
      </c>
      <c r="AB26" s="12">
        <f t="shared" si="6"/>
        <v>-20800</v>
      </c>
    </row>
    <row r="27" spans="1:28" ht="15.75">
      <c r="A27" s="13" t="s">
        <v>35</v>
      </c>
      <c r="B27" s="12">
        <v>0</v>
      </c>
      <c r="C27" s="12">
        <v>0</v>
      </c>
      <c r="D27" s="12">
        <f>-1856*0.8</f>
        <v>-1484.8000000000002</v>
      </c>
      <c r="E27" s="12">
        <f>-1856*0.8</f>
        <v>-1484.8000000000002</v>
      </c>
      <c r="F27" s="12">
        <f>-600*0.8</f>
        <v>-480</v>
      </c>
      <c r="G27" s="12">
        <v>0</v>
      </c>
      <c r="H27" s="12">
        <v>0</v>
      </c>
      <c r="I27" s="12">
        <v>0</v>
      </c>
      <c r="J27" s="12">
        <v>0</v>
      </c>
      <c r="K27" s="12">
        <v>0</v>
      </c>
      <c r="L27" s="12">
        <v>0</v>
      </c>
      <c r="M27" s="12">
        <v>0</v>
      </c>
      <c r="N27" s="12">
        <v>0</v>
      </c>
      <c r="O27" s="12">
        <v>0</v>
      </c>
      <c r="P27" s="12"/>
      <c r="Q27" s="12">
        <f>-1856*0.8</f>
        <v>-1484.8000000000002</v>
      </c>
      <c r="R27" s="12"/>
      <c r="S27" s="12">
        <v>0</v>
      </c>
      <c r="T27" s="12">
        <v>0</v>
      </c>
      <c r="U27" s="12">
        <v>0</v>
      </c>
      <c r="V27" s="12">
        <v>0</v>
      </c>
      <c r="W27" s="12">
        <v>0</v>
      </c>
      <c r="X27" s="12">
        <v>0</v>
      </c>
      <c r="Y27" s="12">
        <v>0</v>
      </c>
      <c r="Z27" s="12">
        <v>0</v>
      </c>
      <c r="AA27" s="12">
        <v>0</v>
      </c>
      <c r="AB27" s="12">
        <f t="shared" si="6"/>
        <v>-4934.400000000001</v>
      </c>
    </row>
    <row r="28" spans="1:29" ht="15.75">
      <c r="A28" s="13" t="s">
        <v>26</v>
      </c>
      <c r="B28" s="12">
        <v>0</v>
      </c>
      <c r="C28" s="12">
        <v>0</v>
      </c>
      <c r="D28" s="12">
        <v>0</v>
      </c>
      <c r="E28" s="12">
        <f>-1200*0.8</f>
        <v>-960</v>
      </c>
      <c r="F28" s="12">
        <v>0</v>
      </c>
      <c r="G28" s="12">
        <f>-1200*0.8</f>
        <v>-960</v>
      </c>
      <c r="H28" s="12">
        <v>0</v>
      </c>
      <c r="I28" s="12">
        <f>-1200*0.8</f>
        <v>-960</v>
      </c>
      <c r="J28" s="12">
        <v>0</v>
      </c>
      <c r="K28" s="12">
        <f>-1200*0.8</f>
        <v>-960</v>
      </c>
      <c r="L28" s="12">
        <v>0</v>
      </c>
      <c r="M28" s="12">
        <f>-1200*0.8</f>
        <v>-960</v>
      </c>
      <c r="N28" s="12">
        <v>0</v>
      </c>
      <c r="O28" s="12">
        <v>0</v>
      </c>
      <c r="P28" s="12">
        <v>0</v>
      </c>
      <c r="Q28" s="12">
        <f>-1200*0.8</f>
        <v>-960</v>
      </c>
      <c r="R28" s="12">
        <v>0</v>
      </c>
      <c r="S28" s="12"/>
      <c r="T28" s="12">
        <v>0</v>
      </c>
      <c r="U28" s="12"/>
      <c r="V28" s="12">
        <v>0</v>
      </c>
      <c r="W28" s="12"/>
      <c r="X28" s="12">
        <v>0</v>
      </c>
      <c r="Y28" s="12"/>
      <c r="Z28" s="12">
        <v>0</v>
      </c>
      <c r="AA28" s="12">
        <v>0</v>
      </c>
      <c r="AB28" s="12">
        <f t="shared" si="6"/>
        <v>-5760</v>
      </c>
      <c r="AC28" s="2" t="s">
        <v>36</v>
      </c>
    </row>
    <row r="29" spans="1:28" ht="15.75">
      <c r="A29" s="13" t="s">
        <v>27</v>
      </c>
      <c r="B29" s="12">
        <v>0</v>
      </c>
      <c r="C29" s="12">
        <v>0</v>
      </c>
      <c r="D29" s="12">
        <v>0</v>
      </c>
      <c r="E29" s="12">
        <v>0</v>
      </c>
      <c r="F29" s="12">
        <v>0</v>
      </c>
      <c r="G29" s="12">
        <v>0</v>
      </c>
      <c r="H29" s="12">
        <v>0</v>
      </c>
      <c r="I29" s="12">
        <v>0</v>
      </c>
      <c r="J29" s="12">
        <v>0</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12">
        <v>0</v>
      </c>
      <c r="AB29" s="12">
        <f t="shared" si="6"/>
        <v>0</v>
      </c>
    </row>
    <row r="30" spans="1:28" ht="15.75">
      <c r="A30" s="13" t="s">
        <v>37</v>
      </c>
      <c r="B30" s="12">
        <f>-220*0.8</f>
        <v>-176</v>
      </c>
      <c r="C30" s="12">
        <v>0</v>
      </c>
      <c r="D30" s="12">
        <v>0</v>
      </c>
      <c r="E30" s="12">
        <f>-948*0.8</f>
        <v>-758.4000000000001</v>
      </c>
      <c r="F30" s="12">
        <v>0</v>
      </c>
      <c r="G30" s="12">
        <v>0</v>
      </c>
      <c r="H30" s="12">
        <v>0</v>
      </c>
      <c r="I30" s="12">
        <v>0</v>
      </c>
      <c r="J30" s="12">
        <v>0</v>
      </c>
      <c r="K30" s="12">
        <v>0</v>
      </c>
      <c r="L30" s="12">
        <v>0</v>
      </c>
      <c r="M30" s="12">
        <v>0</v>
      </c>
      <c r="N30" s="12">
        <f>-220*0.8</f>
        <v>-176</v>
      </c>
      <c r="O30" s="12">
        <v>0</v>
      </c>
      <c r="P30" s="12">
        <v>0</v>
      </c>
      <c r="Q30" s="12">
        <f>-948*0.8</f>
        <v>-758.4000000000001</v>
      </c>
      <c r="R30" s="12">
        <v>0</v>
      </c>
      <c r="S30" s="12">
        <v>0</v>
      </c>
      <c r="T30" s="12">
        <v>0</v>
      </c>
      <c r="U30" s="12">
        <v>0</v>
      </c>
      <c r="V30" s="12">
        <v>0</v>
      </c>
      <c r="W30" s="12">
        <v>0</v>
      </c>
      <c r="X30" s="12">
        <v>0</v>
      </c>
      <c r="Y30" s="12">
        <v>0</v>
      </c>
      <c r="Z30" s="12">
        <f>-220*0.8</f>
        <v>-176</v>
      </c>
      <c r="AA30" s="12">
        <v>0</v>
      </c>
      <c r="AB30" s="12">
        <f t="shared" si="6"/>
        <v>-2044.8000000000002</v>
      </c>
    </row>
    <row r="31" spans="1:28" ht="47.25">
      <c r="A31" s="24" t="s">
        <v>65</v>
      </c>
      <c r="B31" s="12">
        <v>0</v>
      </c>
      <c r="C31" s="12">
        <v>0</v>
      </c>
      <c r="D31" s="12">
        <v>0</v>
      </c>
      <c r="E31" s="12">
        <v>0</v>
      </c>
      <c r="F31" s="12">
        <v>0</v>
      </c>
      <c r="G31" s="12">
        <v>0</v>
      </c>
      <c r="H31" s="12">
        <v>0</v>
      </c>
      <c r="I31" s="12">
        <f>-2500*0.8</f>
        <v>-2000</v>
      </c>
      <c r="J31" s="12">
        <v>0</v>
      </c>
      <c r="K31" s="12">
        <v>0</v>
      </c>
      <c r="L31" s="12">
        <v>0</v>
      </c>
      <c r="M31" s="12">
        <v>0</v>
      </c>
      <c r="N31" s="12">
        <f>-4*(B43+B44+B45)</f>
        <v>-1400</v>
      </c>
      <c r="O31" s="12">
        <f>-4*(B43+B44+B45)</f>
        <v>-1400</v>
      </c>
      <c r="P31" s="12">
        <f>-4*(B43+B44+B45)</f>
        <v>-1400</v>
      </c>
      <c r="Q31" s="12">
        <f>-4*(B43+B44+B45)</f>
        <v>-1400</v>
      </c>
      <c r="R31" s="12">
        <f>-4*(B43+B44+B45)</f>
        <v>-1400</v>
      </c>
      <c r="S31" s="12">
        <f>-4*(B43+B44+B45)</f>
        <v>-1400</v>
      </c>
      <c r="T31" s="12">
        <f>-4*(B43+B44+B45)</f>
        <v>-1400</v>
      </c>
      <c r="U31" s="12">
        <f>-2500*0.8-4*(B43+B44+B45)</f>
        <v>-3400</v>
      </c>
      <c r="V31" s="12">
        <f>-4*(B43+B44+B45)</f>
        <v>-1400</v>
      </c>
      <c r="W31" s="12">
        <f>-4*(B43+B44+B45)</f>
        <v>-1400</v>
      </c>
      <c r="X31" s="12">
        <f>-4*(B43+B44+B45)</f>
        <v>-1400</v>
      </c>
      <c r="Y31" s="12">
        <f>-4*(B43+B44+B45)</f>
        <v>-1400</v>
      </c>
      <c r="Z31" s="12">
        <f>-4*(B43+B44+B45)</f>
        <v>-1400</v>
      </c>
      <c r="AA31" s="12">
        <f>-4*(B43+B44+B45)</f>
        <v>-1400</v>
      </c>
      <c r="AB31" s="12">
        <f t="shared" si="6"/>
        <v>-23600</v>
      </c>
    </row>
    <row r="32" spans="1:28" ht="15.75">
      <c r="A32" s="13" t="s">
        <v>28</v>
      </c>
      <c r="B32" s="12">
        <v>0</v>
      </c>
      <c r="C32" s="12">
        <v>-1200</v>
      </c>
      <c r="D32" s="12">
        <v>0</v>
      </c>
      <c r="E32" s="12">
        <v>0</v>
      </c>
      <c r="F32" s="12">
        <f>-1500*0.8</f>
        <v>-1200</v>
      </c>
      <c r="G32" s="12">
        <v>0</v>
      </c>
      <c r="H32" s="12">
        <v>0</v>
      </c>
      <c r="I32" s="12">
        <v>0</v>
      </c>
      <c r="J32" s="12">
        <v>0</v>
      </c>
      <c r="K32" s="12">
        <v>0</v>
      </c>
      <c r="L32" s="12">
        <v>0</v>
      </c>
      <c r="M32" s="12">
        <v>0</v>
      </c>
      <c r="N32" s="12">
        <v>0</v>
      </c>
      <c r="O32" s="12">
        <v>0</v>
      </c>
      <c r="P32" s="12">
        <v>0</v>
      </c>
      <c r="Q32" s="12">
        <v>0</v>
      </c>
      <c r="R32" s="12">
        <f>-1500*0.8</f>
        <v>-1200</v>
      </c>
      <c r="S32" s="12">
        <v>0</v>
      </c>
      <c r="T32" s="12">
        <v>0</v>
      </c>
      <c r="U32" s="12">
        <v>0</v>
      </c>
      <c r="V32" s="12">
        <v>0</v>
      </c>
      <c r="W32" s="12">
        <v>0</v>
      </c>
      <c r="X32" s="12">
        <v>0</v>
      </c>
      <c r="Y32" s="12">
        <v>0</v>
      </c>
      <c r="Z32" s="12">
        <v>0</v>
      </c>
      <c r="AA32" s="12">
        <v>0</v>
      </c>
      <c r="AB32" s="12">
        <f t="shared" si="6"/>
        <v>-3600</v>
      </c>
    </row>
    <row r="33" spans="1:28" ht="15.75">
      <c r="A33" s="13" t="s">
        <v>29</v>
      </c>
      <c r="B33" s="12">
        <v>0</v>
      </c>
      <c r="C33" s="12">
        <v>0</v>
      </c>
      <c r="D33" s="12">
        <v>0</v>
      </c>
      <c r="E33" s="12">
        <v>0</v>
      </c>
      <c r="F33" s="12">
        <v>0</v>
      </c>
      <c r="G33" s="12">
        <v>0</v>
      </c>
      <c r="H33" s="12">
        <v>0</v>
      </c>
      <c r="I33" s="12">
        <v>0</v>
      </c>
      <c r="J33" s="12">
        <v>0</v>
      </c>
      <c r="K33" s="12">
        <v>0</v>
      </c>
      <c r="L33" s="12">
        <v>0</v>
      </c>
      <c r="M33" s="12">
        <v>0</v>
      </c>
      <c r="N33" s="12">
        <v>0</v>
      </c>
      <c r="O33" s="12">
        <v>0</v>
      </c>
      <c r="P33" s="12">
        <v>0</v>
      </c>
      <c r="Q33" s="12">
        <v>0</v>
      </c>
      <c r="R33" s="12">
        <v>0</v>
      </c>
      <c r="S33" s="12">
        <v>0</v>
      </c>
      <c r="T33" s="12">
        <v>0</v>
      </c>
      <c r="U33" s="12">
        <v>0</v>
      </c>
      <c r="V33" s="12">
        <v>0</v>
      </c>
      <c r="W33" s="12">
        <v>0</v>
      </c>
      <c r="X33" s="12">
        <v>0</v>
      </c>
      <c r="Y33" s="12">
        <v>0</v>
      </c>
      <c r="Z33" s="12">
        <v>0</v>
      </c>
      <c r="AA33" s="12">
        <v>0</v>
      </c>
      <c r="AB33" s="12">
        <f t="shared" si="6"/>
        <v>0</v>
      </c>
    </row>
    <row r="34" spans="1:28" ht="15.75">
      <c r="A34" s="13" t="s">
        <v>66</v>
      </c>
      <c r="B34" s="12">
        <v>0</v>
      </c>
      <c r="C34" s="12">
        <v>0</v>
      </c>
      <c r="D34" s="12">
        <v>0</v>
      </c>
      <c r="E34" s="12">
        <v>0</v>
      </c>
      <c r="F34" s="12">
        <f>-7.2*B43</f>
        <v>-2520</v>
      </c>
      <c r="G34" s="12"/>
      <c r="H34" s="12"/>
      <c r="I34" s="12"/>
      <c r="J34" s="12">
        <f>-7.2*B43</f>
        <v>-2520</v>
      </c>
      <c r="K34" s="12"/>
      <c r="L34" s="12"/>
      <c r="M34" s="12">
        <f>-7.2*B44</f>
        <v>0</v>
      </c>
      <c r="N34" s="12">
        <f>-7.2*B43</f>
        <v>-2520</v>
      </c>
      <c r="O34" s="12"/>
      <c r="P34" s="12">
        <f>-7.2*B45</f>
        <v>0</v>
      </c>
      <c r="Q34" s="12">
        <f>-7.2*(B43+B44+B45)</f>
        <v>-2520</v>
      </c>
      <c r="R34" s="12"/>
      <c r="S34" s="12">
        <f>-7.2*(B43+B44+B45)/4</f>
        <v>-630</v>
      </c>
      <c r="T34" s="12">
        <f>-7.2*(B43+B44+B45)/4</f>
        <v>-630</v>
      </c>
      <c r="U34" s="12">
        <f>-7.2*(B43+B44+B45)/2</f>
        <v>-1260</v>
      </c>
      <c r="V34" s="12">
        <f>-7.2*(B43+B44+B45)</f>
        <v>-2520</v>
      </c>
      <c r="W34" s="12"/>
      <c r="X34" s="12"/>
      <c r="Y34" s="12"/>
      <c r="Z34" s="12">
        <f>-7.2*(B43+B44+B45)</f>
        <v>-2520</v>
      </c>
      <c r="AA34" s="12"/>
      <c r="AB34" s="12"/>
    </row>
    <row r="35" spans="1:28" ht="15.75">
      <c r="A35" s="13" t="s">
        <v>41</v>
      </c>
      <c r="B35" s="12">
        <v>0</v>
      </c>
      <c r="C35" s="12">
        <f>-5625*0.8</f>
        <v>-4500</v>
      </c>
      <c r="D35" s="12">
        <v>-24000</v>
      </c>
      <c r="E35" s="12">
        <v>0</v>
      </c>
      <c r="F35" s="12">
        <v>0</v>
      </c>
      <c r="G35" s="12">
        <v>0</v>
      </c>
      <c r="H35" s="12">
        <v>0</v>
      </c>
      <c r="I35" s="12">
        <v>0</v>
      </c>
      <c r="J35" s="12">
        <v>0</v>
      </c>
      <c r="K35" s="12">
        <v>0</v>
      </c>
      <c r="L35" s="12">
        <v>0</v>
      </c>
      <c r="M35" s="12">
        <v>0</v>
      </c>
      <c r="N35" s="12">
        <v>0</v>
      </c>
      <c r="O35" s="12">
        <f>-5625*0.8</f>
        <v>-4500</v>
      </c>
      <c r="P35" s="12">
        <v>0</v>
      </c>
      <c r="Q35" s="12">
        <v>0</v>
      </c>
      <c r="R35" s="12">
        <v>0</v>
      </c>
      <c r="S35" s="12">
        <v>0</v>
      </c>
      <c r="T35" s="12">
        <v>0</v>
      </c>
      <c r="U35" s="12">
        <v>0</v>
      </c>
      <c r="V35" s="12">
        <v>0</v>
      </c>
      <c r="W35" s="12">
        <v>0</v>
      </c>
      <c r="X35" s="12">
        <v>0</v>
      </c>
      <c r="Y35" s="12">
        <v>0</v>
      </c>
      <c r="Z35" s="12">
        <v>0</v>
      </c>
      <c r="AA35" s="12">
        <f>-5625*0.8</f>
        <v>-4500</v>
      </c>
      <c r="AB35" s="12">
        <f t="shared" si="6"/>
        <v>-37500</v>
      </c>
    </row>
    <row r="36" spans="1:28" ht="15.75">
      <c r="A36" s="13" t="s">
        <v>30</v>
      </c>
      <c r="B36" s="12">
        <v>0</v>
      </c>
      <c r="C36" s="12">
        <v>0</v>
      </c>
      <c r="D36" s="12">
        <v>0</v>
      </c>
      <c r="E36" s="12">
        <v>0</v>
      </c>
      <c r="F36" s="12">
        <v>0</v>
      </c>
      <c r="G36" s="12">
        <v>0</v>
      </c>
      <c r="H36" s="12">
        <v>0</v>
      </c>
      <c r="I36" s="12">
        <v>0</v>
      </c>
      <c r="J36" s="12">
        <v>0</v>
      </c>
      <c r="K36" s="12">
        <v>0</v>
      </c>
      <c r="L36" s="12">
        <v>0</v>
      </c>
      <c r="M36" s="12">
        <v>0</v>
      </c>
      <c r="N36" s="12">
        <v>0</v>
      </c>
      <c r="O36" s="12">
        <v>0</v>
      </c>
      <c r="P36" s="12">
        <v>0</v>
      </c>
      <c r="Q36" s="12">
        <v>0</v>
      </c>
      <c r="R36" s="12">
        <v>0</v>
      </c>
      <c r="S36" s="12">
        <v>0</v>
      </c>
      <c r="T36" s="12">
        <v>0</v>
      </c>
      <c r="U36" s="12">
        <v>0</v>
      </c>
      <c r="V36" s="12">
        <v>0</v>
      </c>
      <c r="W36" s="12">
        <v>0</v>
      </c>
      <c r="X36" s="12">
        <v>0</v>
      </c>
      <c r="Y36" s="12">
        <v>0</v>
      </c>
      <c r="Z36" s="12">
        <v>0</v>
      </c>
      <c r="AA36" s="12">
        <v>0</v>
      </c>
      <c r="AB36" s="12">
        <f t="shared" si="6"/>
        <v>0</v>
      </c>
    </row>
    <row r="37" spans="1:28" ht="15.75">
      <c r="A37" s="13" t="s">
        <v>38</v>
      </c>
      <c r="B37" s="12">
        <v>-250</v>
      </c>
      <c r="C37" s="12">
        <v>-250</v>
      </c>
      <c r="D37" s="12">
        <v>-250</v>
      </c>
      <c r="E37" s="12">
        <v>-250</v>
      </c>
      <c r="F37" s="12">
        <f>-350-200</f>
        <v>-550</v>
      </c>
      <c r="G37" s="12">
        <f aca="true" t="shared" si="7" ref="G37:AA37">-350-200</f>
        <v>-550</v>
      </c>
      <c r="H37" s="12">
        <f t="shared" si="7"/>
        <v>-550</v>
      </c>
      <c r="I37" s="12">
        <f t="shared" si="7"/>
        <v>-550</v>
      </c>
      <c r="J37" s="12">
        <f t="shared" si="7"/>
        <v>-550</v>
      </c>
      <c r="K37" s="12">
        <f t="shared" si="7"/>
        <v>-550</v>
      </c>
      <c r="L37" s="12">
        <f t="shared" si="7"/>
        <v>-550</v>
      </c>
      <c r="M37" s="12">
        <f t="shared" si="7"/>
        <v>-550</v>
      </c>
      <c r="N37" s="12">
        <f t="shared" si="7"/>
        <v>-550</v>
      </c>
      <c r="O37" s="12">
        <f t="shared" si="7"/>
        <v>-550</v>
      </c>
      <c r="P37" s="12">
        <f t="shared" si="7"/>
        <v>-550</v>
      </c>
      <c r="Q37" s="12">
        <f t="shared" si="7"/>
        <v>-550</v>
      </c>
      <c r="R37" s="12">
        <f t="shared" si="7"/>
        <v>-550</v>
      </c>
      <c r="S37" s="12">
        <f t="shared" si="7"/>
        <v>-550</v>
      </c>
      <c r="T37" s="12">
        <f t="shared" si="7"/>
        <v>-550</v>
      </c>
      <c r="U37" s="12">
        <f t="shared" si="7"/>
        <v>-550</v>
      </c>
      <c r="V37" s="12">
        <f t="shared" si="7"/>
        <v>-550</v>
      </c>
      <c r="W37" s="12">
        <f t="shared" si="7"/>
        <v>-550</v>
      </c>
      <c r="X37" s="12">
        <f t="shared" si="7"/>
        <v>-550</v>
      </c>
      <c r="Y37" s="12">
        <f t="shared" si="7"/>
        <v>-550</v>
      </c>
      <c r="Z37" s="12">
        <f t="shared" si="7"/>
        <v>-550</v>
      </c>
      <c r="AA37" s="12">
        <f t="shared" si="7"/>
        <v>-550</v>
      </c>
      <c r="AB37" s="12">
        <f t="shared" si="6"/>
        <v>-13100</v>
      </c>
    </row>
    <row r="38" spans="1:28" ht="15.75">
      <c r="A38" s="13" t="s">
        <v>39</v>
      </c>
      <c r="B38" s="12">
        <f aca="true" t="shared" si="8" ref="B38:AA38">SUM(B17:B35)*0.25</f>
        <v>-244</v>
      </c>
      <c r="C38" s="12">
        <f t="shared" si="8"/>
        <v>-7625</v>
      </c>
      <c r="D38" s="12">
        <f t="shared" si="8"/>
        <v>-6571.2</v>
      </c>
      <c r="E38" s="12">
        <f t="shared" si="8"/>
        <v>-1000.8000000000001</v>
      </c>
      <c r="F38" s="12">
        <f t="shared" si="8"/>
        <v>-1250</v>
      </c>
      <c r="G38" s="12">
        <f t="shared" si="8"/>
        <v>-78365</v>
      </c>
      <c r="H38" s="12">
        <f t="shared" si="8"/>
        <v>-58925</v>
      </c>
      <c r="I38" s="12">
        <f t="shared" si="8"/>
        <v>-940</v>
      </c>
      <c r="J38" s="12">
        <f t="shared" si="8"/>
        <v>-175830</v>
      </c>
      <c r="K38" s="12">
        <f t="shared" si="8"/>
        <v>-175440</v>
      </c>
      <c r="L38" s="12">
        <f t="shared" si="8"/>
        <v>-190325</v>
      </c>
      <c r="M38" s="12">
        <f t="shared" si="8"/>
        <v>-190565</v>
      </c>
      <c r="N38" s="12">
        <f t="shared" si="8"/>
        <v>-191299</v>
      </c>
      <c r="O38" s="12">
        <f t="shared" si="8"/>
        <v>-191916.66666666666</v>
      </c>
      <c r="P38" s="12">
        <f t="shared" si="8"/>
        <v>-190625</v>
      </c>
      <c r="Q38" s="12">
        <f t="shared" si="8"/>
        <v>-192372.46666666667</v>
      </c>
      <c r="R38" s="12">
        <f t="shared" si="8"/>
        <v>-191075</v>
      </c>
      <c r="S38" s="12">
        <f t="shared" si="8"/>
        <v>-191182.5</v>
      </c>
      <c r="T38" s="12">
        <f t="shared" si="8"/>
        <v>-190932.5</v>
      </c>
      <c r="U38" s="12">
        <f t="shared" si="8"/>
        <v>-191756.66666666666</v>
      </c>
      <c r="V38" s="12">
        <f t="shared" si="8"/>
        <v>-36405</v>
      </c>
      <c r="W38" s="12">
        <f t="shared" si="8"/>
        <v>-941.6666666666666</v>
      </c>
      <c r="X38" s="12">
        <f t="shared" si="8"/>
        <v>-775</v>
      </c>
      <c r="Y38" s="12">
        <f t="shared" si="8"/>
        <v>-941.6666666666666</v>
      </c>
      <c r="Z38" s="12">
        <f t="shared" si="8"/>
        <v>-1449</v>
      </c>
      <c r="AA38" s="12">
        <f t="shared" si="8"/>
        <v>-2066.6666666666665</v>
      </c>
      <c r="AB38" s="12">
        <f t="shared" si="6"/>
        <v>-2460819.7999999993</v>
      </c>
    </row>
    <row r="39" spans="1:28" ht="16.5" thickBot="1">
      <c r="A39" s="13" t="s">
        <v>43</v>
      </c>
      <c r="B39" s="12">
        <v>0</v>
      </c>
      <c r="C39" s="12">
        <v>0</v>
      </c>
      <c r="D39" s="12">
        <v>0</v>
      </c>
      <c r="E39" s="12">
        <v>0</v>
      </c>
      <c r="F39" s="12">
        <v>0</v>
      </c>
      <c r="G39" s="12">
        <v>0</v>
      </c>
      <c r="H39" s="12">
        <v>0</v>
      </c>
      <c r="I39" s="12">
        <f aca="true" t="shared" si="9" ref="I39:AA39">IF(G13+G38&gt;0,-(G13+G38),0)</f>
        <v>0</v>
      </c>
      <c r="J39" s="12">
        <f t="shared" si="9"/>
        <v>0</v>
      </c>
      <c r="K39" s="12">
        <f t="shared" si="9"/>
        <v>0</v>
      </c>
      <c r="L39" s="12">
        <f t="shared" si="9"/>
        <v>-34170</v>
      </c>
      <c r="M39" s="12">
        <f t="shared" si="9"/>
        <v>0</v>
      </c>
      <c r="N39" s="12">
        <f t="shared" si="9"/>
        <v>0</v>
      </c>
      <c r="O39" s="12">
        <f t="shared" si="9"/>
        <v>0</v>
      </c>
      <c r="P39" s="12">
        <f t="shared" si="9"/>
        <v>0</v>
      </c>
      <c r="Q39" s="12">
        <f t="shared" si="9"/>
        <v>0</v>
      </c>
      <c r="R39" s="12">
        <f t="shared" si="9"/>
        <v>0</v>
      </c>
      <c r="S39" s="12">
        <f t="shared" si="9"/>
        <v>0</v>
      </c>
      <c r="T39" s="12">
        <f t="shared" si="9"/>
        <v>0</v>
      </c>
      <c r="U39" s="12">
        <f t="shared" si="9"/>
        <v>0</v>
      </c>
      <c r="V39" s="12">
        <f t="shared" si="9"/>
        <v>0</v>
      </c>
      <c r="W39" s="12">
        <f t="shared" si="9"/>
        <v>0</v>
      </c>
      <c r="X39" s="12">
        <f t="shared" si="9"/>
        <v>-408195</v>
      </c>
      <c r="Y39" s="12">
        <f t="shared" si="9"/>
        <v>0</v>
      </c>
      <c r="Z39" s="12">
        <f t="shared" si="9"/>
        <v>0</v>
      </c>
      <c r="AA39" s="12">
        <f t="shared" si="9"/>
        <v>0</v>
      </c>
      <c r="AB39" s="12">
        <f t="shared" si="6"/>
        <v>-442365</v>
      </c>
    </row>
    <row r="40" spans="1:28" s="20" customFormat="1" ht="15.75" thickBot="1">
      <c r="A40" s="18" t="s">
        <v>31</v>
      </c>
      <c r="B40" s="19">
        <f aca="true" t="shared" si="10" ref="B40:AA40">SUM(B17:B39)</f>
        <v>-1470</v>
      </c>
      <c r="C40" s="19">
        <f t="shared" si="10"/>
        <v>-38375</v>
      </c>
      <c r="D40" s="19">
        <f t="shared" si="10"/>
        <v>-33106</v>
      </c>
      <c r="E40" s="19">
        <f t="shared" si="10"/>
        <v>-5254.000000000001</v>
      </c>
      <c r="F40" s="19">
        <f t="shared" si="10"/>
        <v>-6800</v>
      </c>
      <c r="G40" s="19">
        <f t="shared" si="10"/>
        <v>-392375</v>
      </c>
      <c r="H40" s="19">
        <f t="shared" si="10"/>
        <v>-295175</v>
      </c>
      <c r="I40" s="19">
        <f t="shared" si="10"/>
        <v>-5250</v>
      </c>
      <c r="J40" s="19">
        <f t="shared" si="10"/>
        <v>-879700</v>
      </c>
      <c r="K40" s="19">
        <f t="shared" si="10"/>
        <v>-877750</v>
      </c>
      <c r="L40" s="19">
        <f t="shared" si="10"/>
        <v>-986345</v>
      </c>
      <c r="M40" s="19">
        <f t="shared" si="10"/>
        <v>-953375</v>
      </c>
      <c r="N40" s="19">
        <f t="shared" si="10"/>
        <v>-957045</v>
      </c>
      <c r="O40" s="19">
        <f t="shared" si="10"/>
        <v>-960133.3333333333</v>
      </c>
      <c r="P40" s="19">
        <f t="shared" si="10"/>
        <v>-953675</v>
      </c>
      <c r="Q40" s="19">
        <f t="shared" si="10"/>
        <v>-962412.3333333334</v>
      </c>
      <c r="R40" s="19">
        <f t="shared" si="10"/>
        <v>-955925</v>
      </c>
      <c r="S40" s="19">
        <f t="shared" si="10"/>
        <v>-956462.5</v>
      </c>
      <c r="T40" s="19">
        <f t="shared" si="10"/>
        <v>-955212.5</v>
      </c>
      <c r="U40" s="19">
        <f t="shared" si="10"/>
        <v>-959333.3333333333</v>
      </c>
      <c r="V40" s="19">
        <f t="shared" si="10"/>
        <v>-182575</v>
      </c>
      <c r="W40" s="19">
        <f t="shared" si="10"/>
        <v>-5258.333333333333</v>
      </c>
      <c r="X40" s="19">
        <f t="shared" si="10"/>
        <v>-412620</v>
      </c>
      <c r="Y40" s="19">
        <f t="shared" si="10"/>
        <v>-5258.333333333333</v>
      </c>
      <c r="Z40" s="19">
        <f t="shared" si="10"/>
        <v>-7795</v>
      </c>
      <c r="AA40" s="19">
        <f t="shared" si="10"/>
        <v>-10883.333333333332</v>
      </c>
      <c r="AB40" s="19"/>
    </row>
    <row r="41" spans="1:28" s="20" customFormat="1" ht="15">
      <c r="A41" s="18" t="s">
        <v>33</v>
      </c>
      <c r="B41" s="19">
        <f>B4+B15+B40</f>
        <v>-1470</v>
      </c>
      <c r="C41" s="19">
        <f>C4+C15+C40</f>
        <v>-36905</v>
      </c>
      <c r="D41" s="19">
        <f>D4+D15+D40</f>
        <v>32495</v>
      </c>
      <c r="E41" s="19">
        <f aca="true" t="shared" si="11" ref="E41:AA41">D41+E15+E40</f>
        <v>28241</v>
      </c>
      <c r="F41" s="19">
        <f t="shared" si="11"/>
        <v>250191</v>
      </c>
      <c r="G41" s="19">
        <f t="shared" si="11"/>
        <v>86566</v>
      </c>
      <c r="H41" s="19">
        <f t="shared" si="11"/>
        <v>82641</v>
      </c>
      <c r="I41" s="19">
        <f t="shared" si="11"/>
        <v>270131</v>
      </c>
      <c r="J41" s="19">
        <f t="shared" si="11"/>
        <v>1736831</v>
      </c>
      <c r="K41" s="19">
        <f t="shared" si="11"/>
        <v>1997521</v>
      </c>
      <c r="L41" s="19">
        <f t="shared" si="11"/>
        <v>1011176</v>
      </c>
      <c r="M41" s="19">
        <f t="shared" si="11"/>
        <v>233241</v>
      </c>
      <c r="N41" s="19">
        <f t="shared" si="11"/>
        <v>359021</v>
      </c>
      <c r="O41" s="19">
        <f t="shared" si="11"/>
        <v>2181952.666666667</v>
      </c>
      <c r="P41" s="19">
        <f t="shared" si="11"/>
        <v>1419576.666666667</v>
      </c>
      <c r="Q41" s="19">
        <f t="shared" si="11"/>
        <v>1174081</v>
      </c>
      <c r="R41" s="19">
        <f t="shared" si="11"/>
        <v>933781</v>
      </c>
      <c r="S41" s="19">
        <f t="shared" si="11"/>
        <v>388440.9666666668</v>
      </c>
      <c r="T41" s="19">
        <f t="shared" si="11"/>
        <v>-200696.5333333332</v>
      </c>
      <c r="U41" s="19">
        <f t="shared" si="11"/>
        <v>-662597.3666666665</v>
      </c>
      <c r="V41" s="19">
        <f t="shared" si="11"/>
        <v>1568760.1333333335</v>
      </c>
      <c r="W41" s="19">
        <f t="shared" si="11"/>
        <v>1755258.466666667</v>
      </c>
      <c r="X41" s="19">
        <f t="shared" si="11"/>
        <v>1342638.466666667</v>
      </c>
      <c r="Y41" s="19">
        <f t="shared" si="11"/>
        <v>1338321.8000000005</v>
      </c>
      <c r="Z41" s="19">
        <f t="shared" si="11"/>
        <v>1429301.8000000005</v>
      </c>
      <c r="AA41" s="19">
        <f t="shared" si="11"/>
        <v>1419360.133333334</v>
      </c>
      <c r="AB41" s="19"/>
    </row>
    <row r="42" ht="12">
      <c r="B42" s="2" t="s">
        <v>68</v>
      </c>
    </row>
    <row r="43" spans="1:2" ht="15">
      <c r="A43" s="13" t="s">
        <v>52</v>
      </c>
      <c r="B43" s="25">
        <v>350</v>
      </c>
    </row>
    <row r="44" spans="1:2" ht="15">
      <c r="A44" s="13" t="s">
        <v>53</v>
      </c>
      <c r="B44" s="25">
        <v>0</v>
      </c>
    </row>
    <row r="45" spans="1:2" ht="15">
      <c r="A45" s="13" t="s">
        <v>54</v>
      </c>
      <c r="B45" s="25">
        <v>0</v>
      </c>
    </row>
    <row r="46" spans="1:2" ht="15">
      <c r="A46" s="13" t="s">
        <v>64</v>
      </c>
      <c r="B46" s="25">
        <v>70</v>
      </c>
    </row>
    <row r="47" spans="1:2" ht="15">
      <c r="A47" s="13" t="s">
        <v>55</v>
      </c>
      <c r="B47" s="25">
        <v>2500</v>
      </c>
    </row>
    <row r="48" spans="1:2" ht="15">
      <c r="A48" s="13" t="s">
        <v>57</v>
      </c>
      <c r="B48" s="25">
        <v>6500</v>
      </c>
    </row>
    <row r="49" spans="1:2" ht="15">
      <c r="A49" s="13" t="s">
        <v>44</v>
      </c>
      <c r="B49" s="25">
        <v>5000</v>
      </c>
    </row>
    <row r="50" spans="1:2" ht="15">
      <c r="A50" s="13" t="s">
        <v>58</v>
      </c>
      <c r="B50" s="25">
        <v>3000</v>
      </c>
    </row>
    <row r="51" spans="1:2" ht="15">
      <c r="A51" s="13" t="s">
        <v>59</v>
      </c>
      <c r="B51" s="25">
        <v>2000</v>
      </c>
    </row>
    <row r="52" spans="1:2" ht="30">
      <c r="A52" s="24" t="s">
        <v>60</v>
      </c>
      <c r="B52" s="26">
        <f>SUM(B47:B50)+B51*1.25</f>
        <v>19500</v>
      </c>
    </row>
    <row r="53" spans="1:2" ht="15">
      <c r="A53" s="13" t="s">
        <v>62</v>
      </c>
      <c r="B53" s="26">
        <f>(AB6+AB8*1.25)/SUM(B43:B45)</f>
        <v>19500</v>
      </c>
    </row>
    <row r="54" spans="1:3" ht="15">
      <c r="A54" s="13" t="s">
        <v>85</v>
      </c>
      <c r="B54" s="27">
        <f>(Z41-830000)/SUM(B43:B45)</f>
        <v>1712.2908571428586</v>
      </c>
      <c r="C54" s="2" t="s">
        <v>86</v>
      </c>
    </row>
    <row r="55" spans="1:2" ht="30">
      <c r="A55" s="24" t="s">
        <v>61</v>
      </c>
      <c r="B55" s="25">
        <f>B53-B54</f>
        <v>17787.70914285714</v>
      </c>
    </row>
  </sheetData>
  <sheetProtection/>
  <printOptions gridLines="1"/>
  <pageMargins left="0.7500000000000001" right="0.7500000000000001" top="1" bottom="0.21999999999999997" header="0.5" footer="0.10999999999999999"/>
  <pageSetup blackAndWhite="1" fitToHeight="0" fitToWidth="2" orientation="landscape" paperSize="9" scale="62"/>
  <headerFooter alignWithMargins="0">
    <oddHeader>&amp;L&amp;"Times New Roman,Normal"&amp;12&amp;K000000Länghem landsbygd fiber ek. för.
&amp;"Times New Roman,Fet"&amp;14Likviditetsbudget 2015/2016&amp;C&amp;"Times New Roman,Normal"&amp;12&amp;K000000Utskriven &amp;D&amp;R&amp;"Times New Roman,Normal"&amp;12&amp;K000000Sid: &amp;P(&amp;N)</oddHeader>
  </headerFooter>
  <rowBreaks count="1" manualBreakCount="1">
    <brk id="40" max="25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C55"/>
  <sheetViews>
    <sheetView workbookViewId="0" topLeftCell="A1">
      <pane xSplit="1" ySplit="3" topLeftCell="B13" activePane="bottomRight" state="frozen"/>
      <selection pane="topLeft" activeCell="A1" sqref="A1"/>
      <selection pane="topRight" activeCell="B1" sqref="B1"/>
      <selection pane="bottomLeft" activeCell="A4" sqref="A4"/>
      <selection pane="bottomRight" activeCell="B55" sqref="B55"/>
    </sheetView>
  </sheetViews>
  <sheetFormatPr defaultColWidth="8.8515625" defaultRowHeight="12.75"/>
  <cols>
    <col min="1" max="1" width="24.28125" style="21" customWidth="1"/>
    <col min="2" max="2" width="13.00390625" style="2" customWidth="1"/>
    <col min="3" max="3" width="9.421875" style="2" customWidth="1"/>
    <col min="4" max="4" width="10.140625" style="2" customWidth="1"/>
    <col min="5" max="5" width="9.8515625" style="2" bestFit="1" customWidth="1"/>
    <col min="6" max="6" width="10.421875" style="2" customWidth="1"/>
    <col min="7" max="7" width="11.28125" style="2" bestFit="1" customWidth="1"/>
    <col min="8" max="8" width="12.7109375" style="2" customWidth="1"/>
    <col min="9" max="9" width="12.421875" style="2" customWidth="1"/>
    <col min="10" max="10" width="13.00390625" style="2" customWidth="1"/>
    <col min="11" max="12" width="12.421875" style="2" bestFit="1" customWidth="1"/>
    <col min="13" max="13" width="12.7109375" style="2" customWidth="1"/>
    <col min="14" max="14" width="12.28125" style="2" customWidth="1"/>
    <col min="15" max="15" width="12.421875" style="2" customWidth="1"/>
    <col min="16" max="16" width="12.28125" style="2" customWidth="1"/>
    <col min="17" max="18" width="12.140625" style="2" customWidth="1"/>
    <col min="19" max="19" width="12.8515625" style="2" customWidth="1"/>
    <col min="20" max="20" width="12.7109375" style="2" customWidth="1"/>
    <col min="21" max="21" width="12.421875" style="2" customWidth="1"/>
    <col min="22" max="22" width="14.421875" style="2" customWidth="1"/>
    <col min="23" max="23" width="12.7109375" style="2" bestFit="1" customWidth="1"/>
    <col min="24" max="24" width="12.421875" style="2" bestFit="1" customWidth="1"/>
    <col min="25" max="25" width="12.7109375" style="2" customWidth="1"/>
    <col min="26" max="26" width="12.28125" style="2" customWidth="1"/>
    <col min="27" max="27" width="12.421875" style="2" customWidth="1"/>
    <col min="28" max="28" width="13.140625" style="2" customWidth="1"/>
    <col min="29" max="29" width="20.7109375" style="2" customWidth="1"/>
    <col min="30" max="16384" width="8.8515625" style="2" customWidth="1"/>
  </cols>
  <sheetData>
    <row r="1" spans="1:26" s="28" customFormat="1" ht="13.5" customHeight="1">
      <c r="A1" s="30"/>
      <c r="B1" s="31">
        <v>2015</v>
      </c>
      <c r="G1" s="29"/>
      <c r="H1" s="32"/>
      <c r="N1" s="32">
        <v>2016</v>
      </c>
      <c r="S1" s="29"/>
      <c r="T1" s="32"/>
      <c r="Z1" s="32">
        <v>2017</v>
      </c>
    </row>
    <row r="2" spans="1:28" ht="18.75">
      <c r="A2" s="22"/>
      <c r="B2" s="1"/>
      <c r="C2" s="1"/>
      <c r="D2" s="1"/>
      <c r="F2" s="1" t="s">
        <v>45</v>
      </c>
      <c r="G2" s="3"/>
      <c r="H2" s="4"/>
      <c r="J2" s="1" t="s">
        <v>89</v>
      </c>
      <c r="M2" s="23" t="s">
        <v>49</v>
      </c>
      <c r="N2" s="1" t="s">
        <v>79</v>
      </c>
      <c r="O2" s="1"/>
      <c r="P2" s="1" t="s">
        <v>51</v>
      </c>
      <c r="Q2" s="1" t="s">
        <v>90</v>
      </c>
      <c r="R2" s="1"/>
      <c r="S2" s="1" t="s">
        <v>47</v>
      </c>
      <c r="T2" s="4"/>
      <c r="V2" s="1"/>
      <c r="Z2" s="1"/>
      <c r="AA2" s="1"/>
      <c r="AB2" s="1"/>
    </row>
    <row r="3" spans="1:29" s="7" customFormat="1" ht="15.75">
      <c r="A3" s="5"/>
      <c r="B3" s="6" t="s">
        <v>0</v>
      </c>
      <c r="C3" s="6" t="s">
        <v>1</v>
      </c>
      <c r="D3" s="6" t="s">
        <v>2</v>
      </c>
      <c r="E3" s="6" t="s">
        <v>3</v>
      </c>
      <c r="F3" s="6" t="s">
        <v>4</v>
      </c>
      <c r="G3" s="6" t="s">
        <v>5</v>
      </c>
      <c r="H3" s="6" t="s">
        <v>6</v>
      </c>
      <c r="I3" s="6" t="s">
        <v>7</v>
      </c>
      <c r="J3" s="6" t="s">
        <v>8</v>
      </c>
      <c r="K3" s="6" t="s">
        <v>9</v>
      </c>
      <c r="L3" s="6" t="s">
        <v>10</v>
      </c>
      <c r="M3" s="6" t="s">
        <v>11</v>
      </c>
      <c r="N3" s="6" t="s">
        <v>0</v>
      </c>
      <c r="O3" s="6" t="s">
        <v>1</v>
      </c>
      <c r="P3" s="6" t="s">
        <v>2</v>
      </c>
      <c r="Q3" s="6" t="s">
        <v>3</v>
      </c>
      <c r="R3" s="6" t="s">
        <v>4</v>
      </c>
      <c r="S3" s="6" t="s">
        <v>5</v>
      </c>
      <c r="T3" s="6" t="s">
        <v>6</v>
      </c>
      <c r="U3" s="6" t="s">
        <v>7</v>
      </c>
      <c r="V3" s="6" t="s">
        <v>8</v>
      </c>
      <c r="W3" s="6" t="s">
        <v>9</v>
      </c>
      <c r="X3" s="6" t="s">
        <v>10</v>
      </c>
      <c r="Y3" s="6" t="s">
        <v>11</v>
      </c>
      <c r="Z3" s="6" t="s">
        <v>0</v>
      </c>
      <c r="AA3" s="6" t="s">
        <v>1</v>
      </c>
      <c r="AB3" s="6" t="s">
        <v>56</v>
      </c>
      <c r="AC3" s="6" t="s">
        <v>34</v>
      </c>
    </row>
    <row r="4" spans="1:28" ht="15.75">
      <c r="A4" s="8" t="s">
        <v>67</v>
      </c>
      <c r="B4" s="12">
        <v>0</v>
      </c>
      <c r="C4" s="12">
        <f>B4+B15-B40</f>
        <v>1470</v>
      </c>
      <c r="D4" s="12">
        <f>2402+62299</f>
        <v>64701</v>
      </c>
      <c r="E4" s="9"/>
      <c r="F4" s="9"/>
      <c r="G4" s="9"/>
      <c r="H4" s="9"/>
      <c r="I4" s="9"/>
      <c r="J4" s="9"/>
      <c r="K4" s="9"/>
      <c r="L4" s="9"/>
      <c r="M4" s="9"/>
      <c r="N4" s="9"/>
      <c r="O4" s="9"/>
      <c r="P4" s="9"/>
      <c r="Q4" s="9"/>
      <c r="R4" s="9"/>
      <c r="S4" s="9"/>
      <c r="T4" s="9"/>
      <c r="U4" s="9"/>
      <c r="V4" s="9"/>
      <c r="W4" s="9"/>
      <c r="X4" s="9"/>
      <c r="Y4" s="9"/>
      <c r="Z4" s="9"/>
      <c r="AA4" s="9"/>
      <c r="AB4" s="9"/>
    </row>
    <row r="5" spans="1:28" s="7" customFormat="1" ht="18.75">
      <c r="A5" s="10" t="s">
        <v>12</v>
      </c>
      <c r="B5" s="11"/>
      <c r="C5" s="11"/>
      <c r="D5" s="11"/>
      <c r="E5" s="11"/>
      <c r="F5" s="11"/>
      <c r="G5" s="11"/>
      <c r="H5" s="11"/>
      <c r="I5" s="11"/>
      <c r="J5" s="11"/>
      <c r="K5" s="11"/>
      <c r="L5" s="11"/>
      <c r="M5" s="11"/>
      <c r="N5" s="11"/>
      <c r="O5" s="11"/>
      <c r="P5" s="11"/>
      <c r="Q5" s="11"/>
      <c r="R5" s="11"/>
      <c r="S5" s="11"/>
      <c r="T5" s="11"/>
      <c r="U5" s="11"/>
      <c r="V5" s="11"/>
      <c r="W5" s="11"/>
      <c r="X5" s="11"/>
      <c r="Y5" s="11"/>
      <c r="Z5" s="11"/>
      <c r="AA5" s="11"/>
      <c r="AB5" s="11"/>
    </row>
    <row r="6" spans="1:28" ht="15.75">
      <c r="A6" s="13" t="s">
        <v>13</v>
      </c>
      <c r="B6" s="12">
        <v>0</v>
      </c>
      <c r="C6" s="12">
        <v>0</v>
      </c>
      <c r="D6" s="12">
        <v>0</v>
      </c>
      <c r="E6" s="12">
        <v>0</v>
      </c>
      <c r="F6" s="12">
        <f>B47*B43/4</f>
        <v>218750</v>
      </c>
      <c r="G6" s="12">
        <f>B47*B43/4</f>
        <v>218750</v>
      </c>
      <c r="H6" s="12">
        <f>B47*B43/4</f>
        <v>218750</v>
      </c>
      <c r="I6" s="12">
        <f>B47*B43/8</f>
        <v>109375</v>
      </c>
      <c r="J6" s="12">
        <f>B47*B43/8+B48*B43/2</f>
        <v>1334375</v>
      </c>
      <c r="K6" s="12">
        <f>B48*B43/2</f>
        <v>1225000</v>
      </c>
      <c r="L6" s="12">
        <v>0</v>
      </c>
      <c r="M6" s="12">
        <f>(B47+B48)*B44</f>
        <v>0</v>
      </c>
      <c r="N6" s="12">
        <f>B49*B43/2</f>
        <v>1225000</v>
      </c>
      <c r="O6" s="12">
        <f>B49*(B43/2+B44)</f>
        <v>1225000</v>
      </c>
      <c r="P6" s="12">
        <f>(B47+B48+B49)*B45</f>
        <v>0</v>
      </c>
      <c r="Q6" s="12">
        <f>B50*(B43/2+B44/2)</f>
        <v>1312500</v>
      </c>
      <c r="R6" s="12">
        <f>B50*(B43/2+B44/2+B45)</f>
        <v>1312500</v>
      </c>
      <c r="S6" s="12"/>
      <c r="T6" s="12"/>
      <c r="U6" s="12"/>
      <c r="V6" s="12"/>
      <c r="W6" s="12"/>
      <c r="X6" s="12">
        <v>0</v>
      </c>
      <c r="Y6" s="12">
        <v>0</v>
      </c>
      <c r="Z6" s="12">
        <v>0</v>
      </c>
      <c r="AA6" s="12"/>
      <c r="AB6" s="12">
        <f>SUM(B6:AA6)</f>
        <v>8400000</v>
      </c>
    </row>
    <row r="7" spans="1:28" ht="15.75">
      <c r="A7" s="13" t="s">
        <v>32</v>
      </c>
      <c r="B7" s="12">
        <v>0</v>
      </c>
      <c r="C7" s="12">
        <v>0</v>
      </c>
      <c r="D7" s="12">
        <f>9*100</f>
        <v>900</v>
      </c>
      <c r="E7" s="12">
        <f>10*100</f>
        <v>1000</v>
      </c>
      <c r="F7" s="12">
        <f>100*100</f>
        <v>10000</v>
      </c>
      <c r="G7" s="12">
        <f>100*100</f>
        <v>10000</v>
      </c>
      <c r="H7" s="12">
        <f>100*100</f>
        <v>10000</v>
      </c>
      <c r="I7" s="12">
        <f>50*100</f>
        <v>5000</v>
      </c>
      <c r="J7" s="12">
        <f>31*100</f>
        <v>3100</v>
      </c>
      <c r="K7" s="12"/>
      <c r="L7" s="12"/>
      <c r="M7" s="12"/>
      <c r="N7" s="12">
        <f>100*(B43+B44)/2</f>
        <v>17500</v>
      </c>
      <c r="O7" s="12">
        <f>100*(B43+B44)/2</f>
        <v>17500</v>
      </c>
      <c r="P7" s="12"/>
      <c r="Q7" s="12">
        <f>B45*100</f>
        <v>0</v>
      </c>
      <c r="R7" s="12"/>
      <c r="S7" s="12"/>
      <c r="T7" s="12"/>
      <c r="U7" s="12"/>
      <c r="V7" s="12"/>
      <c r="W7" s="12"/>
      <c r="X7" s="12"/>
      <c r="Y7" s="12"/>
      <c r="Z7" s="12"/>
      <c r="AA7" s="12"/>
      <c r="AB7" s="12">
        <f aca="true" t="shared" si="0" ref="AB7:AB14">SUM(B7:AA7)</f>
        <v>75000</v>
      </c>
    </row>
    <row r="8" spans="1:28" ht="15.75">
      <c r="A8" s="13" t="s">
        <v>14</v>
      </c>
      <c r="B8" s="12">
        <v>0</v>
      </c>
      <c r="C8" s="12">
        <v>0</v>
      </c>
      <c r="D8" s="12">
        <v>0</v>
      </c>
      <c r="E8" s="12">
        <v>0</v>
      </c>
      <c r="F8" s="12">
        <v>0</v>
      </c>
      <c r="G8" s="12">
        <v>0</v>
      </c>
      <c r="H8" s="12">
        <v>0</v>
      </c>
      <c r="I8" s="12">
        <v>0</v>
      </c>
      <c r="J8" s="12">
        <v>0</v>
      </c>
      <c r="K8" s="12">
        <v>0</v>
      </c>
      <c r="L8" s="12">
        <v>0</v>
      </c>
      <c r="M8" s="12">
        <v>0</v>
      </c>
      <c r="N8" s="12">
        <v>0</v>
      </c>
      <c r="O8" s="12">
        <v>0</v>
      </c>
      <c r="P8" s="12">
        <v>0</v>
      </c>
      <c r="Q8" s="12">
        <v>0</v>
      </c>
      <c r="R8" s="12">
        <v>0</v>
      </c>
      <c r="S8" s="12">
        <f>B51*(B43/4+B44/4+B45/4)</f>
        <v>175000</v>
      </c>
      <c r="T8" s="12">
        <f>B51*(B43/4+B44/4+B45/4)</f>
        <v>175000</v>
      </c>
      <c r="U8" s="12">
        <f>B51*(B43/2+B44/2+B45/2)</f>
        <v>350000</v>
      </c>
      <c r="V8" s="12">
        <v>0</v>
      </c>
      <c r="W8" s="12">
        <v>0</v>
      </c>
      <c r="X8" s="12">
        <v>0</v>
      </c>
      <c r="Y8" s="12">
        <v>0</v>
      </c>
      <c r="Z8" s="12">
        <v>0</v>
      </c>
      <c r="AA8" s="12">
        <v>0</v>
      </c>
      <c r="AB8" s="12">
        <f t="shared" si="0"/>
        <v>700000</v>
      </c>
    </row>
    <row r="9" spans="1:28" ht="15.75">
      <c r="A9" s="13" t="s">
        <v>15</v>
      </c>
      <c r="B9" s="12">
        <v>0</v>
      </c>
      <c r="C9" s="12">
        <v>0</v>
      </c>
      <c r="D9" s="12">
        <v>0</v>
      </c>
      <c r="E9" s="12">
        <v>0</v>
      </c>
      <c r="F9" s="12">
        <v>0</v>
      </c>
      <c r="G9" s="12">
        <v>0</v>
      </c>
      <c r="H9" s="12">
        <v>0</v>
      </c>
      <c r="I9" s="12">
        <v>0</v>
      </c>
      <c r="J9" s="12">
        <v>0</v>
      </c>
      <c r="K9" s="12">
        <v>0</v>
      </c>
      <c r="L9" s="12">
        <v>0</v>
      </c>
      <c r="M9" s="12">
        <v>0</v>
      </c>
      <c r="N9" s="12"/>
      <c r="O9" s="12"/>
      <c r="P9" s="12"/>
      <c r="Q9" s="12"/>
      <c r="R9" s="12"/>
      <c r="S9" s="12"/>
      <c r="T9" s="12"/>
      <c r="U9" s="12"/>
      <c r="V9" s="25">
        <f>((B43+B44+B45)*B46*0.8)*4</f>
        <v>78400</v>
      </c>
      <c r="W9" s="12">
        <v>0</v>
      </c>
      <c r="X9" s="12">
        <v>0</v>
      </c>
      <c r="Y9" s="12">
        <v>0</v>
      </c>
      <c r="Z9" s="12">
        <f>((B43+B44+B45)*B46*0.8)*4</f>
        <v>78400</v>
      </c>
      <c r="AA9" s="12">
        <v>0</v>
      </c>
      <c r="AB9" s="12">
        <f t="shared" si="0"/>
        <v>156800</v>
      </c>
    </row>
    <row r="10" spans="1:28" ht="15.75">
      <c r="A10" s="13" t="s">
        <v>16</v>
      </c>
      <c r="B10" s="12">
        <v>0</v>
      </c>
      <c r="C10" s="12">
        <v>0</v>
      </c>
      <c r="D10" s="12">
        <v>0</v>
      </c>
      <c r="E10" s="12">
        <v>0</v>
      </c>
      <c r="F10" s="12">
        <v>0</v>
      </c>
      <c r="G10" s="12">
        <v>0</v>
      </c>
      <c r="H10" s="12">
        <v>50000</v>
      </c>
      <c r="I10" s="12">
        <v>0</v>
      </c>
      <c r="J10" s="12">
        <f>40*(B43+B44+B45)*60</f>
        <v>840000</v>
      </c>
      <c r="K10" s="12">
        <v>0</v>
      </c>
      <c r="L10" s="12">
        <v>0</v>
      </c>
      <c r="M10" s="12">
        <v>0</v>
      </c>
      <c r="N10" s="12"/>
      <c r="O10" s="12"/>
      <c r="P10" s="12"/>
      <c r="Q10" s="12"/>
      <c r="R10" s="12"/>
      <c r="S10" s="12"/>
      <c r="T10" s="12"/>
      <c r="U10" s="12"/>
      <c r="V10" s="12"/>
      <c r="W10" s="12"/>
      <c r="X10" s="12">
        <v>0</v>
      </c>
      <c r="Y10" s="12">
        <v>0</v>
      </c>
      <c r="Z10" s="12"/>
      <c r="AA10" s="12"/>
      <c r="AB10" s="12">
        <f t="shared" si="0"/>
        <v>890000</v>
      </c>
    </row>
    <row r="11" spans="1:28" ht="15.75">
      <c r="A11" s="13" t="s">
        <v>17</v>
      </c>
      <c r="B11" s="12">
        <v>0</v>
      </c>
      <c r="C11" s="12">
        <v>0</v>
      </c>
      <c r="D11" s="12">
        <v>0</v>
      </c>
      <c r="E11" s="12">
        <v>0</v>
      </c>
      <c r="F11" s="12">
        <v>0</v>
      </c>
      <c r="G11" s="12">
        <v>0</v>
      </c>
      <c r="H11" s="12">
        <v>0</v>
      </c>
      <c r="I11" s="12">
        <v>0</v>
      </c>
      <c r="J11" s="12">
        <v>0</v>
      </c>
      <c r="K11" s="12">
        <v>0</v>
      </c>
      <c r="L11" s="12">
        <v>0</v>
      </c>
      <c r="M11" s="12">
        <v>0</v>
      </c>
      <c r="N11" s="12"/>
      <c r="O11" s="12"/>
      <c r="P11" s="12"/>
      <c r="Q11" s="12"/>
      <c r="R11" s="12"/>
      <c r="S11" s="12"/>
      <c r="T11" s="12"/>
      <c r="U11" s="12"/>
      <c r="V11" s="12"/>
      <c r="W11" s="12"/>
      <c r="X11" s="12">
        <v>0</v>
      </c>
      <c r="Y11" s="12">
        <v>0</v>
      </c>
      <c r="Z11" s="12"/>
      <c r="AA11" s="12"/>
      <c r="AB11" s="12">
        <f t="shared" si="0"/>
        <v>0</v>
      </c>
    </row>
    <row r="12" spans="1:28" ht="15.75">
      <c r="A12" s="13" t="s">
        <v>18</v>
      </c>
      <c r="B12" s="12">
        <v>0</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c r="AB12" s="12">
        <f t="shared" si="0"/>
        <v>0</v>
      </c>
    </row>
    <row r="13" spans="1:28" ht="15.75">
      <c r="A13" s="13" t="s">
        <v>39</v>
      </c>
      <c r="B13" s="12">
        <f aca="true" t="shared" si="1" ref="B13:G13">SUM(B8:B10)*0.25</f>
        <v>0</v>
      </c>
      <c r="C13" s="12">
        <f t="shared" si="1"/>
        <v>0</v>
      </c>
      <c r="D13" s="12">
        <f t="shared" si="1"/>
        <v>0</v>
      </c>
      <c r="E13" s="12">
        <f t="shared" si="1"/>
        <v>0</v>
      </c>
      <c r="F13" s="12">
        <f t="shared" si="1"/>
        <v>0</v>
      </c>
      <c r="G13" s="12">
        <f t="shared" si="1"/>
        <v>0</v>
      </c>
      <c r="H13" s="12">
        <f aca="true" t="shared" si="2" ref="H13:M13">SUM(H9:H11)*0.25</f>
        <v>12500</v>
      </c>
      <c r="I13" s="12">
        <f t="shared" si="2"/>
        <v>0</v>
      </c>
      <c r="J13" s="12">
        <f t="shared" si="2"/>
        <v>210000</v>
      </c>
      <c r="K13" s="12">
        <f t="shared" si="2"/>
        <v>0</v>
      </c>
      <c r="L13" s="12">
        <f t="shared" si="2"/>
        <v>0</v>
      </c>
      <c r="M13" s="12">
        <f t="shared" si="2"/>
        <v>0</v>
      </c>
      <c r="N13" s="12">
        <f aca="true" t="shared" si="3" ref="N13:S13">SUM(N8:N10)*0.25</f>
        <v>0</v>
      </c>
      <c r="O13" s="12">
        <f t="shared" si="3"/>
        <v>0</v>
      </c>
      <c r="P13" s="12">
        <f t="shared" si="3"/>
        <v>0</v>
      </c>
      <c r="Q13" s="12">
        <f t="shared" si="3"/>
        <v>0</v>
      </c>
      <c r="R13" s="12">
        <f t="shared" si="3"/>
        <v>0</v>
      </c>
      <c r="S13" s="12">
        <f t="shared" si="3"/>
        <v>43750</v>
      </c>
      <c r="T13" s="12">
        <f>SUM(T9:T11)*0.25</f>
        <v>0</v>
      </c>
      <c r="U13" s="12">
        <f>SUM(U9:U11)*0.25</f>
        <v>0</v>
      </c>
      <c r="V13" s="12">
        <f>SUM(V8:V11)*0.25</f>
        <v>19600</v>
      </c>
      <c r="W13" s="12">
        <f>SUM(W8:W11)*0.25</f>
        <v>0</v>
      </c>
      <c r="X13" s="12">
        <f>SUM(X9:X11)*0.25</f>
        <v>0</v>
      </c>
      <c r="Y13" s="12">
        <f>SUM(Y9:Y11)*0.25</f>
        <v>0</v>
      </c>
      <c r="Z13" s="12">
        <f>SUM(Z8:Z10)*0.25</f>
        <v>19600</v>
      </c>
      <c r="AA13" s="12">
        <f>SUM(AA8:AA10)*0.25</f>
        <v>0</v>
      </c>
      <c r="AB13" s="12">
        <f t="shared" si="0"/>
        <v>305450</v>
      </c>
    </row>
    <row r="14" spans="1:28" ht="16.5" thickBot="1">
      <c r="A14" s="13" t="s">
        <v>42</v>
      </c>
      <c r="B14" s="12">
        <f>0</f>
        <v>0</v>
      </c>
      <c r="C14" s="12">
        <v>0</v>
      </c>
      <c r="D14" s="12">
        <v>0</v>
      </c>
      <c r="E14" s="12">
        <v>0</v>
      </c>
      <c r="F14" s="12">
        <v>0</v>
      </c>
      <c r="G14" s="12">
        <v>0</v>
      </c>
      <c r="H14" s="12">
        <v>0</v>
      </c>
      <c r="I14" s="12">
        <f aca="true" t="shared" si="4" ref="I14:AA14">IF(G13+G38&lt;0,-(G13+G38),0)</f>
        <v>78365</v>
      </c>
      <c r="J14" s="12">
        <f t="shared" si="4"/>
        <v>46425</v>
      </c>
      <c r="K14" s="12">
        <f t="shared" si="4"/>
        <v>940</v>
      </c>
      <c r="L14" s="12">
        <f t="shared" si="4"/>
        <v>0</v>
      </c>
      <c r="M14" s="12">
        <f t="shared" si="4"/>
        <v>175440</v>
      </c>
      <c r="N14" s="12">
        <f t="shared" si="4"/>
        <v>190325</v>
      </c>
      <c r="O14" s="12">
        <f t="shared" si="4"/>
        <v>190565</v>
      </c>
      <c r="P14" s="12">
        <f t="shared" si="4"/>
        <v>191299</v>
      </c>
      <c r="Q14" s="12">
        <f t="shared" si="4"/>
        <v>191916.66666666666</v>
      </c>
      <c r="R14" s="12">
        <f t="shared" si="4"/>
        <v>190625</v>
      </c>
      <c r="S14" s="12">
        <f t="shared" si="4"/>
        <v>192372.46666666667</v>
      </c>
      <c r="T14" s="12">
        <f t="shared" si="4"/>
        <v>191075</v>
      </c>
      <c r="U14" s="12">
        <f t="shared" si="4"/>
        <v>147432.5</v>
      </c>
      <c r="V14" s="12">
        <f t="shared" si="4"/>
        <v>190932.5</v>
      </c>
      <c r="W14" s="12">
        <f t="shared" si="4"/>
        <v>191756.66666666666</v>
      </c>
      <c r="X14" s="12">
        <f t="shared" si="4"/>
        <v>16805</v>
      </c>
      <c r="Y14" s="12">
        <f t="shared" si="4"/>
        <v>941.6666666666666</v>
      </c>
      <c r="Z14" s="12">
        <f t="shared" si="4"/>
        <v>775</v>
      </c>
      <c r="AA14" s="12">
        <f t="shared" si="4"/>
        <v>941.6666666666666</v>
      </c>
      <c r="AB14" s="12">
        <f t="shared" si="0"/>
        <v>2188933.133333333</v>
      </c>
    </row>
    <row r="15" spans="1:28" s="16" customFormat="1" ht="15.75">
      <c r="A15" s="14" t="s">
        <v>19</v>
      </c>
      <c r="B15" s="15">
        <f aca="true" t="shared" si="5" ref="B15:AA15">SUM(B6:B14)</f>
        <v>0</v>
      </c>
      <c r="C15" s="15">
        <f t="shared" si="5"/>
        <v>0</v>
      </c>
      <c r="D15" s="15">
        <f t="shared" si="5"/>
        <v>900</v>
      </c>
      <c r="E15" s="15">
        <f t="shared" si="5"/>
        <v>1000</v>
      </c>
      <c r="F15" s="15">
        <f t="shared" si="5"/>
        <v>228750</v>
      </c>
      <c r="G15" s="15">
        <f t="shared" si="5"/>
        <v>228750</v>
      </c>
      <c r="H15" s="15">
        <f t="shared" si="5"/>
        <v>291250</v>
      </c>
      <c r="I15" s="15">
        <f t="shared" si="5"/>
        <v>192740</v>
      </c>
      <c r="J15" s="15">
        <f t="shared" si="5"/>
        <v>2433900</v>
      </c>
      <c r="K15" s="15">
        <f t="shared" si="5"/>
        <v>1225940</v>
      </c>
      <c r="L15" s="15">
        <f t="shared" si="5"/>
        <v>0</v>
      </c>
      <c r="M15" s="15">
        <f t="shared" si="5"/>
        <v>175440</v>
      </c>
      <c r="N15" s="15">
        <f t="shared" si="5"/>
        <v>1432825</v>
      </c>
      <c r="O15" s="15">
        <f t="shared" si="5"/>
        <v>1433065</v>
      </c>
      <c r="P15" s="15">
        <f t="shared" si="5"/>
        <v>191299</v>
      </c>
      <c r="Q15" s="15">
        <f t="shared" si="5"/>
        <v>1504416.6666666667</v>
      </c>
      <c r="R15" s="15">
        <f t="shared" si="5"/>
        <v>1503125</v>
      </c>
      <c r="S15" s="15">
        <f t="shared" si="5"/>
        <v>411122.4666666667</v>
      </c>
      <c r="T15" s="15">
        <f t="shared" si="5"/>
        <v>366075</v>
      </c>
      <c r="U15" s="15">
        <f t="shared" si="5"/>
        <v>497432.5</v>
      </c>
      <c r="V15" s="15">
        <f t="shared" si="5"/>
        <v>288932.5</v>
      </c>
      <c r="W15" s="15">
        <f t="shared" si="5"/>
        <v>191756.66666666666</v>
      </c>
      <c r="X15" s="15">
        <f t="shared" si="5"/>
        <v>16805</v>
      </c>
      <c r="Y15" s="15">
        <f t="shared" si="5"/>
        <v>941.6666666666666</v>
      </c>
      <c r="Z15" s="15">
        <f t="shared" si="5"/>
        <v>98775</v>
      </c>
      <c r="AA15" s="15">
        <f t="shared" si="5"/>
        <v>941.6666666666666</v>
      </c>
      <c r="AB15" s="15"/>
    </row>
    <row r="16" spans="1:28" s="7" customFormat="1" ht="20.25">
      <c r="A16" s="17" t="s">
        <v>20</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row>
    <row r="17" spans="1:29" ht="15.75">
      <c r="A17" s="13" t="s">
        <v>82</v>
      </c>
      <c r="B17" s="12">
        <v>0</v>
      </c>
      <c r="C17" s="12">
        <v>0</v>
      </c>
      <c r="D17" s="12">
        <v>0</v>
      </c>
      <c r="E17" s="12">
        <v>0</v>
      </c>
      <c r="F17" s="12">
        <v>0</v>
      </c>
      <c r="G17" s="12">
        <v>-69000</v>
      </c>
      <c r="H17" s="12">
        <v>0</v>
      </c>
      <c r="I17" s="12">
        <v>0</v>
      </c>
      <c r="J17" s="12">
        <v>-300000</v>
      </c>
      <c r="K17" s="12">
        <v>-300000</v>
      </c>
      <c r="L17" s="12">
        <v>-300000</v>
      </c>
      <c r="M17" s="12">
        <v>-300000</v>
      </c>
      <c r="N17" s="12">
        <v>-300000</v>
      </c>
      <c r="O17" s="12">
        <v>-300000</v>
      </c>
      <c r="P17" s="12">
        <v>-300000</v>
      </c>
      <c r="Q17" s="12">
        <v>-300000</v>
      </c>
      <c r="R17" s="12">
        <v>-300000</v>
      </c>
      <c r="S17" s="12">
        <v>-300000</v>
      </c>
      <c r="T17" s="12">
        <v>-300000</v>
      </c>
      <c r="U17" s="12">
        <v>-300000</v>
      </c>
      <c r="V17" s="12"/>
      <c r="W17" s="12"/>
      <c r="X17" s="12"/>
      <c r="Y17" s="12"/>
      <c r="Z17" s="12"/>
      <c r="AA17" s="12"/>
      <c r="AB17" s="12">
        <f>SUM(B17:AA17)</f>
        <v>-3669000</v>
      </c>
      <c r="AC17" s="33">
        <v>3.6</v>
      </c>
    </row>
    <row r="18" spans="1:29" ht="15.75">
      <c r="A18" s="13" t="s">
        <v>83</v>
      </c>
      <c r="B18" s="12">
        <v>0</v>
      </c>
      <c r="C18" s="12">
        <v>0</v>
      </c>
      <c r="D18" s="12">
        <v>0</v>
      </c>
      <c r="E18" s="12">
        <v>0</v>
      </c>
      <c r="F18" s="12">
        <v>0</v>
      </c>
      <c r="G18" s="12">
        <f>-380000/2</f>
        <v>-190000</v>
      </c>
      <c r="H18" s="12">
        <f>-380000/2</f>
        <v>-190000</v>
      </c>
      <c r="I18" s="12">
        <v>0</v>
      </c>
      <c r="J18" s="12">
        <v>-400000</v>
      </c>
      <c r="K18" s="12">
        <v>-400000</v>
      </c>
      <c r="L18" s="12">
        <v>-460000</v>
      </c>
      <c r="M18" s="12">
        <v>-460000</v>
      </c>
      <c r="N18" s="12">
        <v>-460000</v>
      </c>
      <c r="O18" s="12">
        <v>-460000</v>
      </c>
      <c r="P18" s="12">
        <v>-460000</v>
      </c>
      <c r="Q18" s="12">
        <v>-460000</v>
      </c>
      <c r="R18" s="12">
        <v>-460000</v>
      </c>
      <c r="S18" s="12">
        <v>-460000</v>
      </c>
      <c r="T18" s="12">
        <v>-460000</v>
      </c>
      <c r="U18" s="12">
        <v>-460000</v>
      </c>
      <c r="V18" s="12"/>
      <c r="W18" s="12"/>
      <c r="X18" s="12"/>
      <c r="Y18" s="12"/>
      <c r="Z18" s="12"/>
      <c r="AA18" s="12"/>
      <c r="AB18" s="12">
        <f>SUM(B18:AA18)</f>
        <v>-5780000</v>
      </c>
      <c r="AC18" s="33">
        <v>5.75</v>
      </c>
    </row>
    <row r="19" spans="1:29" ht="15.75">
      <c r="A19" s="13" t="s">
        <v>84</v>
      </c>
      <c r="B19" s="12"/>
      <c r="C19" s="38">
        <v>-24000</v>
      </c>
      <c r="D19" s="12"/>
      <c r="E19" s="12"/>
      <c r="F19" s="12"/>
      <c r="G19" s="12">
        <f>-7800+0.5*0.2*(G18+H18+G17+H17)</f>
        <v>-52700</v>
      </c>
      <c r="H19" s="12">
        <f>0.5*0.2*(G18+H18+G17+H17)</f>
        <v>-44900</v>
      </c>
      <c r="I19" s="12">
        <v>0</v>
      </c>
      <c r="J19" s="12"/>
      <c r="K19" s="12"/>
      <c r="L19" s="12"/>
      <c r="M19" s="12"/>
      <c r="N19" s="12"/>
      <c r="O19" s="12"/>
      <c r="P19" s="12"/>
      <c r="Q19" s="12"/>
      <c r="R19" s="12"/>
      <c r="S19" s="12"/>
      <c r="T19" s="12"/>
      <c r="U19" s="12"/>
      <c r="V19" s="12">
        <v>-140000</v>
      </c>
      <c r="W19" s="12"/>
      <c r="X19" s="12"/>
      <c r="Y19" s="12"/>
      <c r="Z19" s="12"/>
      <c r="AA19" s="12"/>
      <c r="AB19" s="12">
        <f>SUM(B19:AA19)</f>
        <v>-261600</v>
      </c>
      <c r="AC19" s="33"/>
    </row>
    <row r="20" spans="1:28" ht="15.75">
      <c r="A20" s="13" t="s">
        <v>21</v>
      </c>
      <c r="B20" s="12">
        <v>0</v>
      </c>
      <c r="C20" s="12">
        <v>0</v>
      </c>
      <c r="D20" s="12">
        <v>0</v>
      </c>
      <c r="E20" s="12">
        <v>0</v>
      </c>
      <c r="F20" s="12">
        <v>0</v>
      </c>
      <c r="G20" s="12">
        <v>0</v>
      </c>
      <c r="H20" s="12">
        <v>0</v>
      </c>
      <c r="I20" s="12">
        <v>0</v>
      </c>
      <c r="J20" s="12">
        <v>0</v>
      </c>
      <c r="K20" s="12">
        <v>0</v>
      </c>
      <c r="L20" s="12">
        <v>0</v>
      </c>
      <c r="M20" s="12">
        <v>0</v>
      </c>
      <c r="N20" s="12">
        <v>0</v>
      </c>
      <c r="O20" s="12">
        <v>0</v>
      </c>
      <c r="P20" s="12">
        <v>0</v>
      </c>
      <c r="Q20" s="12">
        <v>0</v>
      </c>
      <c r="R20" s="12">
        <v>0</v>
      </c>
      <c r="S20" s="12">
        <v>0</v>
      </c>
      <c r="T20" s="12">
        <v>0</v>
      </c>
      <c r="U20" s="12">
        <v>0</v>
      </c>
      <c r="V20" s="12">
        <v>0</v>
      </c>
      <c r="W20" s="12">
        <v>0</v>
      </c>
      <c r="X20" s="12">
        <v>0</v>
      </c>
      <c r="Y20" s="12">
        <v>0</v>
      </c>
      <c r="Z20" s="12">
        <v>0</v>
      </c>
      <c r="AA20" s="12">
        <v>0</v>
      </c>
      <c r="AB20" s="12">
        <f aca="true" t="shared" si="6" ref="AB20:AB39">SUM(B20:AA20)</f>
        <v>0</v>
      </c>
    </row>
    <row r="21" spans="1:28" ht="15.75">
      <c r="A21" s="13" t="s">
        <v>22</v>
      </c>
      <c r="B21" s="12">
        <v>0</v>
      </c>
      <c r="C21" s="12">
        <v>0</v>
      </c>
      <c r="D21" s="12">
        <v>0</v>
      </c>
      <c r="E21" s="12">
        <v>0</v>
      </c>
      <c r="F21" s="12">
        <v>0</v>
      </c>
      <c r="G21" s="12">
        <v>0</v>
      </c>
      <c r="H21" s="12">
        <v>0</v>
      </c>
      <c r="I21" s="12">
        <v>0</v>
      </c>
      <c r="J21" s="12">
        <v>0</v>
      </c>
      <c r="K21" s="12">
        <v>0</v>
      </c>
      <c r="L21" s="12">
        <v>0</v>
      </c>
      <c r="M21" s="12">
        <v>0</v>
      </c>
      <c r="N21" s="12">
        <v>0</v>
      </c>
      <c r="O21" s="12">
        <v>0</v>
      </c>
      <c r="P21" s="12">
        <v>0</v>
      </c>
      <c r="Q21" s="12">
        <v>0</v>
      </c>
      <c r="R21" s="12">
        <v>0</v>
      </c>
      <c r="S21" s="12">
        <v>0</v>
      </c>
      <c r="T21" s="12">
        <v>0</v>
      </c>
      <c r="U21" s="12">
        <v>0</v>
      </c>
      <c r="V21" s="12">
        <v>0</v>
      </c>
      <c r="W21" s="12">
        <v>0</v>
      </c>
      <c r="X21" s="12">
        <v>0</v>
      </c>
      <c r="Y21" s="12">
        <v>0</v>
      </c>
      <c r="Z21" s="12">
        <v>0</v>
      </c>
      <c r="AA21" s="12">
        <v>0</v>
      </c>
      <c r="AB21" s="12">
        <f t="shared" si="6"/>
        <v>0</v>
      </c>
    </row>
    <row r="22" spans="1:28" ht="15.75">
      <c r="A22" s="13" t="s">
        <v>23</v>
      </c>
      <c r="B22" s="12">
        <v>0</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c r="AB22" s="12">
        <f t="shared" si="6"/>
        <v>0</v>
      </c>
    </row>
    <row r="23" spans="1:28" ht="15.75">
      <c r="A23" s="13" t="s">
        <v>24</v>
      </c>
      <c r="B23" s="12">
        <v>0</v>
      </c>
      <c r="C23" s="12">
        <v>0</v>
      </c>
      <c r="D23" s="12">
        <v>0</v>
      </c>
      <c r="E23" s="12">
        <v>0</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c r="AB23" s="12">
        <f t="shared" si="6"/>
        <v>0</v>
      </c>
    </row>
    <row r="24" spans="1:28" ht="31.5">
      <c r="A24" s="24" t="s">
        <v>63</v>
      </c>
      <c r="B24" s="12">
        <v>0</v>
      </c>
      <c r="C24" s="12">
        <v>0</v>
      </c>
      <c r="D24" s="12">
        <v>0</v>
      </c>
      <c r="E24" s="12">
        <v>0</v>
      </c>
      <c r="F24" s="12">
        <v>0</v>
      </c>
      <c r="G24" s="12">
        <v>0</v>
      </c>
      <c r="H24" s="12">
        <v>0</v>
      </c>
      <c r="I24" s="12">
        <v>0</v>
      </c>
      <c r="J24" s="12">
        <v>0</v>
      </c>
      <c r="K24" s="12">
        <v>0</v>
      </c>
      <c r="L24" s="12">
        <v>-500</v>
      </c>
      <c r="M24" s="12">
        <v>-500</v>
      </c>
      <c r="N24" s="12">
        <v>-300</v>
      </c>
      <c r="O24" s="12">
        <f>-300-4000/6</f>
        <v>-966.6666666666666</v>
      </c>
      <c r="P24" s="12">
        <f>-300</f>
        <v>-300</v>
      </c>
      <c r="Q24" s="12">
        <f>-3*300-4000/6</f>
        <v>-1566.6666666666665</v>
      </c>
      <c r="R24" s="12">
        <f>-3*300</f>
        <v>-900</v>
      </c>
      <c r="S24" s="12">
        <f>-3*300-4000/4</f>
        <v>-1900</v>
      </c>
      <c r="T24" s="12">
        <f>-3*300</f>
        <v>-900</v>
      </c>
      <c r="U24" s="12">
        <f>-3*300-4000/6</f>
        <v>-1566.6666666666665</v>
      </c>
      <c r="V24" s="12">
        <f>-3*300</f>
        <v>-900</v>
      </c>
      <c r="W24" s="12">
        <f>-3*300-4000/6</f>
        <v>-1566.6666666666665</v>
      </c>
      <c r="X24" s="12">
        <f>-3*300</f>
        <v>-900</v>
      </c>
      <c r="Y24" s="12">
        <f>-3*300-4000/6</f>
        <v>-1566.6666666666665</v>
      </c>
      <c r="Z24" s="12">
        <f>-3*300</f>
        <v>-900</v>
      </c>
      <c r="AA24" s="12">
        <f>-3*300-4000/6</f>
        <v>-1566.6666666666665</v>
      </c>
      <c r="AB24" s="12">
        <f t="shared" si="6"/>
        <v>-16800</v>
      </c>
    </row>
    <row r="25" spans="1:28" ht="15.75">
      <c r="A25" s="13" t="s">
        <v>25</v>
      </c>
      <c r="B25" s="12">
        <v>0</v>
      </c>
      <c r="C25" s="12">
        <v>0</v>
      </c>
      <c r="D25" s="12">
        <v>0</v>
      </c>
      <c r="E25" s="12">
        <v>0</v>
      </c>
      <c r="F25" s="12">
        <v>0</v>
      </c>
      <c r="G25" s="12">
        <v>0</v>
      </c>
      <c r="H25" s="12">
        <v>0</v>
      </c>
      <c r="I25" s="12">
        <v>0</v>
      </c>
      <c r="J25" s="12">
        <v>0</v>
      </c>
      <c r="K25" s="12">
        <v>0</v>
      </c>
      <c r="L25" s="12">
        <v>0</v>
      </c>
      <c r="M25" s="12">
        <v>0</v>
      </c>
      <c r="N25" s="12">
        <v>0</v>
      </c>
      <c r="O25" s="12">
        <v>0</v>
      </c>
      <c r="P25" s="12">
        <v>0</v>
      </c>
      <c r="Q25" s="12">
        <v>0</v>
      </c>
      <c r="R25" s="12">
        <v>0</v>
      </c>
      <c r="S25" s="12">
        <v>0</v>
      </c>
      <c r="T25" s="12">
        <v>0</v>
      </c>
      <c r="U25" s="12">
        <v>0</v>
      </c>
      <c r="V25" s="12">
        <v>0</v>
      </c>
      <c r="W25" s="12">
        <v>0</v>
      </c>
      <c r="X25" s="12">
        <v>0</v>
      </c>
      <c r="Y25" s="12">
        <v>0</v>
      </c>
      <c r="Z25" s="12">
        <v>0</v>
      </c>
      <c r="AA25" s="12">
        <v>0</v>
      </c>
      <c r="AB25" s="12">
        <f t="shared" si="6"/>
        <v>0</v>
      </c>
    </row>
    <row r="26" spans="1:28" ht="15.75">
      <c r="A26" s="13" t="s">
        <v>40</v>
      </c>
      <c r="B26" s="12">
        <v>-800</v>
      </c>
      <c r="C26" s="12">
        <v>-800</v>
      </c>
      <c r="D26" s="12">
        <v>-800</v>
      </c>
      <c r="E26" s="12">
        <v>-800</v>
      </c>
      <c r="F26" s="12">
        <v>-800</v>
      </c>
      <c r="G26" s="12">
        <v>-800</v>
      </c>
      <c r="H26" s="12">
        <v>-800</v>
      </c>
      <c r="I26" s="12">
        <v>-800</v>
      </c>
      <c r="J26" s="12">
        <v>-800</v>
      </c>
      <c r="K26" s="12">
        <v>-800</v>
      </c>
      <c r="L26" s="12">
        <v>-800</v>
      </c>
      <c r="M26" s="12">
        <v>-800</v>
      </c>
      <c r="N26" s="12">
        <v>-800</v>
      </c>
      <c r="O26" s="12">
        <v>-800</v>
      </c>
      <c r="P26" s="12">
        <v>-800</v>
      </c>
      <c r="Q26" s="12">
        <v>-800</v>
      </c>
      <c r="R26" s="12">
        <v>-800</v>
      </c>
      <c r="S26" s="12">
        <v>-800</v>
      </c>
      <c r="T26" s="12">
        <v>-800</v>
      </c>
      <c r="U26" s="12">
        <v>-800</v>
      </c>
      <c r="V26" s="12">
        <v>-800</v>
      </c>
      <c r="W26" s="12">
        <v>-800</v>
      </c>
      <c r="X26" s="12">
        <v>-800</v>
      </c>
      <c r="Y26" s="12">
        <v>-800</v>
      </c>
      <c r="Z26" s="12">
        <v>-800</v>
      </c>
      <c r="AA26" s="12">
        <v>-800</v>
      </c>
      <c r="AB26" s="12">
        <f t="shared" si="6"/>
        <v>-20800</v>
      </c>
    </row>
    <row r="27" spans="1:28" ht="15.75">
      <c r="A27" s="13" t="s">
        <v>35</v>
      </c>
      <c r="B27" s="12">
        <v>0</v>
      </c>
      <c r="C27" s="12">
        <v>0</v>
      </c>
      <c r="D27" s="12">
        <f>-1856*0.8</f>
        <v>-1484.8000000000002</v>
      </c>
      <c r="E27" s="12">
        <f>-1856*0.8</f>
        <v>-1484.8000000000002</v>
      </c>
      <c r="F27" s="12">
        <f>-600*0.8</f>
        <v>-480</v>
      </c>
      <c r="G27" s="12">
        <v>0</v>
      </c>
      <c r="H27" s="12">
        <v>0</v>
      </c>
      <c r="I27" s="12">
        <v>0</v>
      </c>
      <c r="J27" s="12">
        <v>0</v>
      </c>
      <c r="K27" s="12">
        <v>0</v>
      </c>
      <c r="L27" s="12">
        <v>0</v>
      </c>
      <c r="M27" s="12">
        <v>0</v>
      </c>
      <c r="N27" s="12">
        <v>0</v>
      </c>
      <c r="O27" s="12">
        <v>0</v>
      </c>
      <c r="P27" s="12"/>
      <c r="Q27" s="12">
        <f>-1856*0.8</f>
        <v>-1484.8000000000002</v>
      </c>
      <c r="R27" s="12"/>
      <c r="S27" s="12">
        <v>0</v>
      </c>
      <c r="T27" s="12">
        <v>0</v>
      </c>
      <c r="U27" s="12">
        <v>0</v>
      </c>
      <c r="V27" s="12">
        <v>0</v>
      </c>
      <c r="W27" s="12">
        <v>0</v>
      </c>
      <c r="X27" s="12">
        <v>0</v>
      </c>
      <c r="Y27" s="12">
        <v>0</v>
      </c>
      <c r="Z27" s="12">
        <v>0</v>
      </c>
      <c r="AA27" s="12">
        <v>0</v>
      </c>
      <c r="AB27" s="12">
        <f t="shared" si="6"/>
        <v>-4934.400000000001</v>
      </c>
    </row>
    <row r="28" spans="1:29" ht="15.75">
      <c r="A28" s="13" t="s">
        <v>26</v>
      </c>
      <c r="B28" s="12">
        <v>0</v>
      </c>
      <c r="C28" s="12">
        <v>0</v>
      </c>
      <c r="D28" s="12">
        <v>0</v>
      </c>
      <c r="E28" s="12">
        <f>-1200*0.8</f>
        <v>-960</v>
      </c>
      <c r="F28" s="12">
        <v>0</v>
      </c>
      <c r="G28" s="12">
        <f>-1200*0.8</f>
        <v>-960</v>
      </c>
      <c r="H28" s="12">
        <v>0</v>
      </c>
      <c r="I28" s="12">
        <f>-1200*0.8</f>
        <v>-960</v>
      </c>
      <c r="J28" s="12">
        <v>0</v>
      </c>
      <c r="K28" s="12">
        <f>-1200*0.8</f>
        <v>-960</v>
      </c>
      <c r="L28" s="12">
        <v>0</v>
      </c>
      <c r="M28" s="12">
        <f>-1200*0.8</f>
        <v>-960</v>
      </c>
      <c r="N28" s="12">
        <v>0</v>
      </c>
      <c r="O28" s="12">
        <v>0</v>
      </c>
      <c r="P28" s="12">
        <v>0</v>
      </c>
      <c r="Q28" s="12">
        <f>-1200*0.8</f>
        <v>-960</v>
      </c>
      <c r="R28" s="12">
        <v>0</v>
      </c>
      <c r="S28" s="12"/>
      <c r="T28" s="12">
        <v>0</v>
      </c>
      <c r="U28" s="12"/>
      <c r="V28" s="12">
        <v>0</v>
      </c>
      <c r="W28" s="12"/>
      <c r="X28" s="12">
        <v>0</v>
      </c>
      <c r="Y28" s="12"/>
      <c r="Z28" s="12">
        <v>0</v>
      </c>
      <c r="AA28" s="12">
        <v>0</v>
      </c>
      <c r="AB28" s="12">
        <f t="shared" si="6"/>
        <v>-5760</v>
      </c>
      <c r="AC28" s="2" t="s">
        <v>36</v>
      </c>
    </row>
    <row r="29" spans="1:28" ht="15.75">
      <c r="A29" s="13" t="s">
        <v>27</v>
      </c>
      <c r="B29" s="12">
        <v>0</v>
      </c>
      <c r="C29" s="12">
        <v>0</v>
      </c>
      <c r="D29" s="12">
        <v>0</v>
      </c>
      <c r="E29" s="12">
        <v>0</v>
      </c>
      <c r="F29" s="12">
        <v>0</v>
      </c>
      <c r="G29" s="12">
        <v>0</v>
      </c>
      <c r="H29" s="12">
        <v>0</v>
      </c>
      <c r="I29" s="12">
        <v>0</v>
      </c>
      <c r="J29" s="12">
        <v>0</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12">
        <v>0</v>
      </c>
      <c r="AB29" s="12">
        <f t="shared" si="6"/>
        <v>0</v>
      </c>
    </row>
    <row r="30" spans="1:28" ht="15.75">
      <c r="A30" s="13" t="s">
        <v>37</v>
      </c>
      <c r="B30" s="12">
        <f>-220*0.8</f>
        <v>-176</v>
      </c>
      <c r="C30" s="12">
        <v>0</v>
      </c>
      <c r="D30" s="12">
        <v>0</v>
      </c>
      <c r="E30" s="12">
        <f>-948*0.8</f>
        <v>-758.4000000000001</v>
      </c>
      <c r="F30" s="12">
        <v>0</v>
      </c>
      <c r="G30" s="12">
        <v>0</v>
      </c>
      <c r="H30" s="12">
        <v>0</v>
      </c>
      <c r="I30" s="12">
        <v>0</v>
      </c>
      <c r="J30" s="12">
        <v>0</v>
      </c>
      <c r="K30" s="12">
        <v>0</v>
      </c>
      <c r="L30" s="12">
        <v>0</v>
      </c>
      <c r="M30" s="12">
        <v>0</v>
      </c>
      <c r="N30" s="12">
        <f>-220*0.8</f>
        <v>-176</v>
      </c>
      <c r="O30" s="12">
        <v>0</v>
      </c>
      <c r="P30" s="12">
        <v>0</v>
      </c>
      <c r="Q30" s="12">
        <f>-948*0.8</f>
        <v>-758.4000000000001</v>
      </c>
      <c r="R30" s="12">
        <v>0</v>
      </c>
      <c r="S30" s="12">
        <v>0</v>
      </c>
      <c r="T30" s="12">
        <v>0</v>
      </c>
      <c r="U30" s="12">
        <v>0</v>
      </c>
      <c r="V30" s="12">
        <v>0</v>
      </c>
      <c r="W30" s="12">
        <v>0</v>
      </c>
      <c r="X30" s="12">
        <v>0</v>
      </c>
      <c r="Y30" s="12">
        <v>0</v>
      </c>
      <c r="Z30" s="12">
        <f>-220*0.8</f>
        <v>-176</v>
      </c>
      <c r="AA30" s="12">
        <v>0</v>
      </c>
      <c r="AB30" s="12">
        <f t="shared" si="6"/>
        <v>-2044.8000000000002</v>
      </c>
    </row>
    <row r="31" spans="1:28" ht="47.25">
      <c r="A31" s="24" t="s">
        <v>65</v>
      </c>
      <c r="B31" s="12">
        <v>0</v>
      </c>
      <c r="C31" s="12">
        <v>0</v>
      </c>
      <c r="D31" s="12">
        <v>0</v>
      </c>
      <c r="E31" s="12">
        <v>0</v>
      </c>
      <c r="F31" s="12">
        <v>0</v>
      </c>
      <c r="G31" s="12">
        <v>0</v>
      </c>
      <c r="H31" s="12">
        <v>0</v>
      </c>
      <c r="I31" s="12">
        <f>-2500*0.8</f>
        <v>-2000</v>
      </c>
      <c r="J31" s="12">
        <v>0</v>
      </c>
      <c r="K31" s="12">
        <v>0</v>
      </c>
      <c r="L31" s="12">
        <v>0</v>
      </c>
      <c r="M31" s="12">
        <v>0</v>
      </c>
      <c r="N31" s="12">
        <f>-4*(B43+B44+B45)</f>
        <v>-1400</v>
      </c>
      <c r="O31" s="12">
        <f>-4*(B43+B44+B45)</f>
        <v>-1400</v>
      </c>
      <c r="P31" s="12">
        <f>-4*(B43+B44+B45)</f>
        <v>-1400</v>
      </c>
      <c r="Q31" s="12">
        <f>-4*(B43+B44+B45)</f>
        <v>-1400</v>
      </c>
      <c r="R31" s="12">
        <f>-4*(B43+B44+B45)</f>
        <v>-1400</v>
      </c>
      <c r="S31" s="12">
        <f>-4*(B43+B44+B45)</f>
        <v>-1400</v>
      </c>
      <c r="T31" s="12">
        <f>-4*(B43+B44+B45)</f>
        <v>-1400</v>
      </c>
      <c r="U31" s="12">
        <f>-2500*0.8-4*(B43+B44+B45)</f>
        <v>-3400</v>
      </c>
      <c r="V31" s="12">
        <f>-4*(B43+B44+B45)</f>
        <v>-1400</v>
      </c>
      <c r="W31" s="12">
        <f>-4*(B43+B44+B45)</f>
        <v>-1400</v>
      </c>
      <c r="X31" s="12">
        <f>-4*(B43+B44+B45)</f>
        <v>-1400</v>
      </c>
      <c r="Y31" s="12">
        <f>-4*(B43+B44+B45)</f>
        <v>-1400</v>
      </c>
      <c r="Z31" s="12">
        <f>-4*(B43+B44+B45)</f>
        <v>-1400</v>
      </c>
      <c r="AA31" s="12">
        <f>-4*(B43+B44+B45)</f>
        <v>-1400</v>
      </c>
      <c r="AB31" s="12">
        <f t="shared" si="6"/>
        <v>-23600</v>
      </c>
    </row>
    <row r="32" spans="1:28" ht="15.75">
      <c r="A32" s="13" t="s">
        <v>28</v>
      </c>
      <c r="B32" s="12">
        <v>0</v>
      </c>
      <c r="C32" s="12">
        <v>-1200</v>
      </c>
      <c r="D32" s="12">
        <v>0</v>
      </c>
      <c r="E32" s="12">
        <v>0</v>
      </c>
      <c r="F32" s="12">
        <f>-1500*0.8</f>
        <v>-1200</v>
      </c>
      <c r="G32" s="12">
        <v>0</v>
      </c>
      <c r="H32" s="12">
        <v>0</v>
      </c>
      <c r="I32" s="12">
        <v>0</v>
      </c>
      <c r="J32" s="12">
        <v>0</v>
      </c>
      <c r="K32" s="12">
        <v>0</v>
      </c>
      <c r="L32" s="12">
        <v>0</v>
      </c>
      <c r="M32" s="12">
        <v>0</v>
      </c>
      <c r="N32" s="12">
        <v>0</v>
      </c>
      <c r="O32" s="12">
        <v>0</v>
      </c>
      <c r="P32" s="12">
        <v>0</v>
      </c>
      <c r="Q32" s="12">
        <v>0</v>
      </c>
      <c r="R32" s="12">
        <f>-1500*0.8</f>
        <v>-1200</v>
      </c>
      <c r="S32" s="12">
        <v>0</v>
      </c>
      <c r="T32" s="12">
        <v>0</v>
      </c>
      <c r="U32" s="12">
        <v>0</v>
      </c>
      <c r="V32" s="12">
        <v>0</v>
      </c>
      <c r="W32" s="12">
        <v>0</v>
      </c>
      <c r="X32" s="12">
        <v>0</v>
      </c>
      <c r="Y32" s="12">
        <v>0</v>
      </c>
      <c r="Z32" s="12">
        <v>0</v>
      </c>
      <c r="AA32" s="12">
        <v>0</v>
      </c>
      <c r="AB32" s="12">
        <f t="shared" si="6"/>
        <v>-3600</v>
      </c>
    </row>
    <row r="33" spans="1:28" ht="15.75">
      <c r="A33" s="13" t="s">
        <v>29</v>
      </c>
      <c r="B33" s="12">
        <v>0</v>
      </c>
      <c r="C33" s="12">
        <v>0</v>
      </c>
      <c r="D33" s="12">
        <v>0</v>
      </c>
      <c r="E33" s="12">
        <v>0</v>
      </c>
      <c r="F33" s="12">
        <v>0</v>
      </c>
      <c r="G33" s="12">
        <v>0</v>
      </c>
      <c r="H33" s="12">
        <v>0</v>
      </c>
      <c r="I33" s="12">
        <v>0</v>
      </c>
      <c r="J33" s="12">
        <v>0</v>
      </c>
      <c r="K33" s="12">
        <v>0</v>
      </c>
      <c r="L33" s="12">
        <v>0</v>
      </c>
      <c r="M33" s="12">
        <v>0</v>
      </c>
      <c r="N33" s="12">
        <v>0</v>
      </c>
      <c r="O33" s="12">
        <v>0</v>
      </c>
      <c r="P33" s="12">
        <v>0</v>
      </c>
      <c r="Q33" s="12">
        <v>0</v>
      </c>
      <c r="R33" s="12">
        <v>0</v>
      </c>
      <c r="S33" s="12">
        <v>0</v>
      </c>
      <c r="T33" s="12">
        <v>0</v>
      </c>
      <c r="U33" s="12">
        <v>0</v>
      </c>
      <c r="V33" s="12">
        <v>0</v>
      </c>
      <c r="W33" s="12">
        <v>0</v>
      </c>
      <c r="X33" s="12">
        <v>0</v>
      </c>
      <c r="Y33" s="12">
        <v>0</v>
      </c>
      <c r="Z33" s="12">
        <v>0</v>
      </c>
      <c r="AA33" s="12">
        <v>0</v>
      </c>
      <c r="AB33" s="12">
        <f t="shared" si="6"/>
        <v>0</v>
      </c>
    </row>
    <row r="34" spans="1:28" ht="15.75">
      <c r="A34" s="13" t="s">
        <v>66</v>
      </c>
      <c r="B34" s="12">
        <v>0</v>
      </c>
      <c r="C34" s="12">
        <v>0</v>
      </c>
      <c r="D34" s="12">
        <v>0</v>
      </c>
      <c r="E34" s="12">
        <v>0</v>
      </c>
      <c r="F34" s="12">
        <f>-7.2*B43</f>
        <v>-2520</v>
      </c>
      <c r="G34" s="12"/>
      <c r="H34" s="12"/>
      <c r="I34" s="12"/>
      <c r="J34" s="12">
        <f>-7.2*B43</f>
        <v>-2520</v>
      </c>
      <c r="K34" s="12"/>
      <c r="L34" s="12"/>
      <c r="M34" s="12">
        <f>-7.2*B44</f>
        <v>0</v>
      </c>
      <c r="N34" s="12">
        <f>-7.2*B43</f>
        <v>-2520</v>
      </c>
      <c r="O34" s="12"/>
      <c r="P34" s="12">
        <f>-7.2*B45</f>
        <v>0</v>
      </c>
      <c r="Q34" s="12">
        <f>-7.2*(B43+B44+B45)</f>
        <v>-2520</v>
      </c>
      <c r="R34" s="12"/>
      <c r="S34" s="12">
        <f>-7.2*(B43+B44+B45)/4</f>
        <v>-630</v>
      </c>
      <c r="T34" s="12">
        <f>-7.2*(B43+B44+B45)/4</f>
        <v>-630</v>
      </c>
      <c r="U34" s="12">
        <f>-7.2*(B43+B44+B45)/2</f>
        <v>-1260</v>
      </c>
      <c r="V34" s="12">
        <f>-7.2*(B43+B44+B45)</f>
        <v>-2520</v>
      </c>
      <c r="W34" s="12"/>
      <c r="X34" s="12"/>
      <c r="Y34" s="12"/>
      <c r="Z34" s="12">
        <f>-7.2*(B43+B44+B45)</f>
        <v>-2520</v>
      </c>
      <c r="AA34" s="12"/>
      <c r="AB34" s="12"/>
    </row>
    <row r="35" spans="1:28" ht="15.75">
      <c r="A35" s="13" t="s">
        <v>41</v>
      </c>
      <c r="B35" s="12">
        <v>0</v>
      </c>
      <c r="C35" s="12">
        <f>-5625*0.8</f>
        <v>-4500</v>
      </c>
      <c r="D35" s="12">
        <v>-24000</v>
      </c>
      <c r="E35" s="12">
        <v>0</v>
      </c>
      <c r="F35" s="12">
        <v>0</v>
      </c>
      <c r="G35" s="12">
        <v>0</v>
      </c>
      <c r="H35" s="12">
        <v>0</v>
      </c>
      <c r="I35" s="12">
        <v>0</v>
      </c>
      <c r="J35" s="12">
        <v>0</v>
      </c>
      <c r="K35" s="12">
        <v>0</v>
      </c>
      <c r="L35" s="12">
        <v>0</v>
      </c>
      <c r="M35" s="12">
        <v>0</v>
      </c>
      <c r="N35" s="12">
        <v>0</v>
      </c>
      <c r="O35" s="12">
        <f>-5625*0.8</f>
        <v>-4500</v>
      </c>
      <c r="P35" s="12">
        <v>0</v>
      </c>
      <c r="Q35" s="12">
        <v>0</v>
      </c>
      <c r="R35" s="12">
        <v>0</v>
      </c>
      <c r="S35" s="12">
        <v>0</v>
      </c>
      <c r="T35" s="12">
        <v>0</v>
      </c>
      <c r="U35" s="12">
        <v>0</v>
      </c>
      <c r="V35" s="12">
        <v>0</v>
      </c>
      <c r="W35" s="12">
        <v>0</v>
      </c>
      <c r="X35" s="12">
        <v>0</v>
      </c>
      <c r="Y35" s="12">
        <v>0</v>
      </c>
      <c r="Z35" s="12">
        <v>0</v>
      </c>
      <c r="AA35" s="12">
        <f>-5625*0.8</f>
        <v>-4500</v>
      </c>
      <c r="AB35" s="12">
        <f t="shared" si="6"/>
        <v>-37500</v>
      </c>
    </row>
    <row r="36" spans="1:28" ht="15.75">
      <c r="A36" s="13" t="s">
        <v>30</v>
      </c>
      <c r="B36" s="12">
        <v>0</v>
      </c>
      <c r="C36" s="12">
        <v>0</v>
      </c>
      <c r="D36" s="12">
        <v>0</v>
      </c>
      <c r="E36" s="12">
        <v>0</v>
      </c>
      <c r="F36" s="12">
        <v>0</v>
      </c>
      <c r="G36" s="12">
        <v>0</v>
      </c>
      <c r="H36" s="12">
        <v>0</v>
      </c>
      <c r="I36" s="12">
        <v>0</v>
      </c>
      <c r="J36" s="12">
        <v>0</v>
      </c>
      <c r="K36" s="12">
        <v>0</v>
      </c>
      <c r="L36" s="12">
        <v>0</v>
      </c>
      <c r="M36" s="12">
        <v>0</v>
      </c>
      <c r="N36" s="12">
        <v>0</v>
      </c>
      <c r="O36" s="12">
        <v>0</v>
      </c>
      <c r="P36" s="12">
        <v>0</v>
      </c>
      <c r="Q36" s="12">
        <v>0</v>
      </c>
      <c r="R36" s="12">
        <v>0</v>
      </c>
      <c r="S36" s="12">
        <v>0</v>
      </c>
      <c r="T36" s="12">
        <v>0</v>
      </c>
      <c r="U36" s="12">
        <v>0</v>
      </c>
      <c r="V36" s="12">
        <v>0</v>
      </c>
      <c r="W36" s="12">
        <v>0</v>
      </c>
      <c r="X36" s="12">
        <v>0</v>
      </c>
      <c r="Y36" s="12">
        <v>0</v>
      </c>
      <c r="Z36" s="12">
        <v>0</v>
      </c>
      <c r="AA36" s="12">
        <v>0</v>
      </c>
      <c r="AB36" s="12">
        <f t="shared" si="6"/>
        <v>0</v>
      </c>
    </row>
    <row r="37" spans="1:28" ht="15.75">
      <c r="A37" s="13" t="s">
        <v>38</v>
      </c>
      <c r="B37" s="12">
        <v>-250</v>
      </c>
      <c r="C37" s="12">
        <v>-250</v>
      </c>
      <c r="D37" s="12">
        <v>-250</v>
      </c>
      <c r="E37" s="12">
        <v>-250</v>
      </c>
      <c r="F37" s="12">
        <f>-350-200</f>
        <v>-550</v>
      </c>
      <c r="G37" s="12">
        <f aca="true" t="shared" si="7" ref="G37:AA37">-350-200</f>
        <v>-550</v>
      </c>
      <c r="H37" s="12">
        <f t="shared" si="7"/>
        <v>-550</v>
      </c>
      <c r="I37" s="12">
        <f t="shared" si="7"/>
        <v>-550</v>
      </c>
      <c r="J37" s="12">
        <f t="shared" si="7"/>
        <v>-550</v>
      </c>
      <c r="K37" s="12">
        <f t="shared" si="7"/>
        <v>-550</v>
      </c>
      <c r="L37" s="12">
        <f t="shared" si="7"/>
        <v>-550</v>
      </c>
      <c r="M37" s="12">
        <f t="shared" si="7"/>
        <v>-550</v>
      </c>
      <c r="N37" s="12">
        <f t="shared" si="7"/>
        <v>-550</v>
      </c>
      <c r="O37" s="12">
        <f t="shared" si="7"/>
        <v>-550</v>
      </c>
      <c r="P37" s="12">
        <f t="shared" si="7"/>
        <v>-550</v>
      </c>
      <c r="Q37" s="12">
        <f t="shared" si="7"/>
        <v>-550</v>
      </c>
      <c r="R37" s="12">
        <f t="shared" si="7"/>
        <v>-550</v>
      </c>
      <c r="S37" s="12">
        <f t="shared" si="7"/>
        <v>-550</v>
      </c>
      <c r="T37" s="12">
        <f t="shared" si="7"/>
        <v>-550</v>
      </c>
      <c r="U37" s="12">
        <f t="shared" si="7"/>
        <v>-550</v>
      </c>
      <c r="V37" s="12">
        <f t="shared" si="7"/>
        <v>-550</v>
      </c>
      <c r="W37" s="12">
        <f t="shared" si="7"/>
        <v>-550</v>
      </c>
      <c r="X37" s="12">
        <f t="shared" si="7"/>
        <v>-550</v>
      </c>
      <c r="Y37" s="12">
        <f t="shared" si="7"/>
        <v>-550</v>
      </c>
      <c r="Z37" s="12">
        <f t="shared" si="7"/>
        <v>-550</v>
      </c>
      <c r="AA37" s="12">
        <f t="shared" si="7"/>
        <v>-550</v>
      </c>
      <c r="AB37" s="12">
        <f t="shared" si="6"/>
        <v>-13100</v>
      </c>
    </row>
    <row r="38" spans="1:28" ht="15.75">
      <c r="A38" s="13" t="s">
        <v>39</v>
      </c>
      <c r="B38" s="12">
        <f aca="true" t="shared" si="8" ref="B38:AA38">SUM(B17:B35)*0.25</f>
        <v>-244</v>
      </c>
      <c r="C38" s="12">
        <f t="shared" si="8"/>
        <v>-7625</v>
      </c>
      <c r="D38" s="12">
        <f t="shared" si="8"/>
        <v>-6571.2</v>
      </c>
      <c r="E38" s="12">
        <f t="shared" si="8"/>
        <v>-1000.8000000000001</v>
      </c>
      <c r="F38" s="12">
        <f t="shared" si="8"/>
        <v>-1250</v>
      </c>
      <c r="G38" s="12">
        <f t="shared" si="8"/>
        <v>-78365</v>
      </c>
      <c r="H38" s="12">
        <f t="shared" si="8"/>
        <v>-58925</v>
      </c>
      <c r="I38" s="12">
        <f t="shared" si="8"/>
        <v>-940</v>
      </c>
      <c r="J38" s="12">
        <f t="shared" si="8"/>
        <v>-175830</v>
      </c>
      <c r="K38" s="12">
        <f t="shared" si="8"/>
        <v>-175440</v>
      </c>
      <c r="L38" s="12">
        <f t="shared" si="8"/>
        <v>-190325</v>
      </c>
      <c r="M38" s="12">
        <f t="shared" si="8"/>
        <v>-190565</v>
      </c>
      <c r="N38" s="12">
        <f t="shared" si="8"/>
        <v>-191299</v>
      </c>
      <c r="O38" s="12">
        <f t="shared" si="8"/>
        <v>-191916.66666666666</v>
      </c>
      <c r="P38" s="12">
        <f t="shared" si="8"/>
        <v>-190625</v>
      </c>
      <c r="Q38" s="12">
        <f t="shared" si="8"/>
        <v>-192372.46666666667</v>
      </c>
      <c r="R38" s="12">
        <f t="shared" si="8"/>
        <v>-191075</v>
      </c>
      <c r="S38" s="12">
        <f t="shared" si="8"/>
        <v>-191182.5</v>
      </c>
      <c r="T38" s="12">
        <f t="shared" si="8"/>
        <v>-190932.5</v>
      </c>
      <c r="U38" s="12">
        <f t="shared" si="8"/>
        <v>-191756.66666666666</v>
      </c>
      <c r="V38" s="12">
        <f t="shared" si="8"/>
        <v>-36405</v>
      </c>
      <c r="W38" s="12">
        <f t="shared" si="8"/>
        <v>-941.6666666666666</v>
      </c>
      <c r="X38" s="12">
        <f t="shared" si="8"/>
        <v>-775</v>
      </c>
      <c r="Y38" s="12">
        <f t="shared" si="8"/>
        <v>-941.6666666666666</v>
      </c>
      <c r="Z38" s="12">
        <f t="shared" si="8"/>
        <v>-1449</v>
      </c>
      <c r="AA38" s="12">
        <f t="shared" si="8"/>
        <v>-2066.6666666666665</v>
      </c>
      <c r="AB38" s="12">
        <f t="shared" si="6"/>
        <v>-2460819.7999999993</v>
      </c>
    </row>
    <row r="39" spans="1:28" ht="16.5" thickBot="1">
      <c r="A39" s="13" t="s">
        <v>43</v>
      </c>
      <c r="B39" s="12">
        <v>0</v>
      </c>
      <c r="C39" s="12">
        <v>0</v>
      </c>
      <c r="D39" s="12">
        <v>0</v>
      </c>
      <c r="E39" s="12">
        <v>0</v>
      </c>
      <c r="F39" s="12">
        <v>0</v>
      </c>
      <c r="G39" s="12">
        <v>0</v>
      </c>
      <c r="H39" s="12">
        <v>0</v>
      </c>
      <c r="I39" s="12">
        <f aca="true" t="shared" si="9" ref="I39:AA39">IF(G13+G38&gt;0,-(G13+G38),0)</f>
        <v>0</v>
      </c>
      <c r="J39" s="12">
        <f t="shared" si="9"/>
        <v>0</v>
      </c>
      <c r="K39" s="12">
        <f t="shared" si="9"/>
        <v>0</v>
      </c>
      <c r="L39" s="12">
        <f t="shared" si="9"/>
        <v>-34170</v>
      </c>
      <c r="M39" s="12">
        <f t="shared" si="9"/>
        <v>0</v>
      </c>
      <c r="N39" s="12">
        <f t="shared" si="9"/>
        <v>0</v>
      </c>
      <c r="O39" s="12">
        <f t="shared" si="9"/>
        <v>0</v>
      </c>
      <c r="P39" s="12">
        <f t="shared" si="9"/>
        <v>0</v>
      </c>
      <c r="Q39" s="12">
        <f t="shared" si="9"/>
        <v>0</v>
      </c>
      <c r="R39" s="12">
        <f t="shared" si="9"/>
        <v>0</v>
      </c>
      <c r="S39" s="12">
        <f t="shared" si="9"/>
        <v>0</v>
      </c>
      <c r="T39" s="12">
        <f t="shared" si="9"/>
        <v>0</v>
      </c>
      <c r="U39" s="12">
        <f t="shared" si="9"/>
        <v>0</v>
      </c>
      <c r="V39" s="12">
        <f t="shared" si="9"/>
        <v>0</v>
      </c>
      <c r="W39" s="12">
        <f t="shared" si="9"/>
        <v>0</v>
      </c>
      <c r="X39" s="12">
        <f t="shared" si="9"/>
        <v>0</v>
      </c>
      <c r="Y39" s="12">
        <f t="shared" si="9"/>
        <v>0</v>
      </c>
      <c r="Z39" s="12">
        <f t="shared" si="9"/>
        <v>0</v>
      </c>
      <c r="AA39" s="12">
        <f t="shared" si="9"/>
        <v>0</v>
      </c>
      <c r="AB39" s="12">
        <f t="shared" si="6"/>
        <v>-34170</v>
      </c>
    </row>
    <row r="40" spans="1:28" s="20" customFormat="1" ht="15.75" thickBot="1">
      <c r="A40" s="18" t="s">
        <v>31</v>
      </c>
      <c r="B40" s="19">
        <f aca="true" t="shared" si="10" ref="B40:AA40">SUM(B17:B39)</f>
        <v>-1470</v>
      </c>
      <c r="C40" s="19">
        <f t="shared" si="10"/>
        <v>-38375</v>
      </c>
      <c r="D40" s="19">
        <f t="shared" si="10"/>
        <v>-33106</v>
      </c>
      <c r="E40" s="19">
        <f t="shared" si="10"/>
        <v>-5254.000000000001</v>
      </c>
      <c r="F40" s="19">
        <f t="shared" si="10"/>
        <v>-6800</v>
      </c>
      <c r="G40" s="19">
        <f t="shared" si="10"/>
        <v>-392375</v>
      </c>
      <c r="H40" s="19">
        <f t="shared" si="10"/>
        <v>-295175</v>
      </c>
      <c r="I40" s="19">
        <f t="shared" si="10"/>
        <v>-5250</v>
      </c>
      <c r="J40" s="19">
        <f t="shared" si="10"/>
        <v>-879700</v>
      </c>
      <c r="K40" s="19">
        <f t="shared" si="10"/>
        <v>-877750</v>
      </c>
      <c r="L40" s="19">
        <f t="shared" si="10"/>
        <v>-986345</v>
      </c>
      <c r="M40" s="19">
        <f t="shared" si="10"/>
        <v>-953375</v>
      </c>
      <c r="N40" s="19">
        <f t="shared" si="10"/>
        <v>-957045</v>
      </c>
      <c r="O40" s="19">
        <f t="shared" si="10"/>
        <v>-960133.3333333333</v>
      </c>
      <c r="P40" s="19">
        <f t="shared" si="10"/>
        <v>-953675</v>
      </c>
      <c r="Q40" s="19">
        <f t="shared" si="10"/>
        <v>-962412.3333333334</v>
      </c>
      <c r="R40" s="19">
        <f t="shared" si="10"/>
        <v>-955925</v>
      </c>
      <c r="S40" s="19">
        <f t="shared" si="10"/>
        <v>-956462.5</v>
      </c>
      <c r="T40" s="19">
        <f t="shared" si="10"/>
        <v>-955212.5</v>
      </c>
      <c r="U40" s="19">
        <f t="shared" si="10"/>
        <v>-959333.3333333333</v>
      </c>
      <c r="V40" s="19">
        <f t="shared" si="10"/>
        <v>-182575</v>
      </c>
      <c r="W40" s="19">
        <f t="shared" si="10"/>
        <v>-5258.333333333333</v>
      </c>
      <c r="X40" s="19">
        <f t="shared" si="10"/>
        <v>-4425</v>
      </c>
      <c r="Y40" s="19">
        <f t="shared" si="10"/>
        <v>-5258.333333333333</v>
      </c>
      <c r="Z40" s="19">
        <f t="shared" si="10"/>
        <v>-7795</v>
      </c>
      <c r="AA40" s="19">
        <f t="shared" si="10"/>
        <v>-10883.333333333332</v>
      </c>
      <c r="AB40" s="19"/>
    </row>
    <row r="41" spans="1:28" s="20" customFormat="1" ht="15">
      <c r="A41" s="18" t="s">
        <v>33</v>
      </c>
      <c r="B41" s="19">
        <f>B4+B15+B40</f>
        <v>-1470</v>
      </c>
      <c r="C41" s="19">
        <f>C4+C15+C40</f>
        <v>-36905</v>
      </c>
      <c r="D41" s="19">
        <f>D4+D15+D40</f>
        <v>32495</v>
      </c>
      <c r="E41" s="19">
        <f aca="true" t="shared" si="11" ref="E41:AA41">D41+E15+E40</f>
        <v>28241</v>
      </c>
      <c r="F41" s="19">
        <f t="shared" si="11"/>
        <v>250191</v>
      </c>
      <c r="G41" s="19">
        <f t="shared" si="11"/>
        <v>86566</v>
      </c>
      <c r="H41" s="19">
        <f t="shared" si="11"/>
        <v>82641</v>
      </c>
      <c r="I41" s="19">
        <f t="shared" si="11"/>
        <v>270131</v>
      </c>
      <c r="J41" s="19">
        <f t="shared" si="11"/>
        <v>1824331</v>
      </c>
      <c r="K41" s="19">
        <f t="shared" si="11"/>
        <v>2172521</v>
      </c>
      <c r="L41" s="19">
        <f t="shared" si="11"/>
        <v>1186176</v>
      </c>
      <c r="M41" s="19">
        <f t="shared" si="11"/>
        <v>408241</v>
      </c>
      <c r="N41" s="19">
        <f t="shared" si="11"/>
        <v>884021</v>
      </c>
      <c r="O41" s="19">
        <f t="shared" si="11"/>
        <v>1356952.6666666667</v>
      </c>
      <c r="P41" s="19">
        <f t="shared" si="11"/>
        <v>594576.6666666667</v>
      </c>
      <c r="Q41" s="19">
        <f t="shared" si="11"/>
        <v>1136581</v>
      </c>
      <c r="R41" s="19">
        <f t="shared" si="11"/>
        <v>1683781</v>
      </c>
      <c r="S41" s="19">
        <f t="shared" si="11"/>
        <v>1138440.9666666668</v>
      </c>
      <c r="T41" s="19">
        <f t="shared" si="11"/>
        <v>549303.4666666668</v>
      </c>
      <c r="U41" s="19">
        <f t="shared" si="11"/>
        <v>87402.63333333354</v>
      </c>
      <c r="V41" s="19">
        <f t="shared" si="11"/>
        <v>193760.13333333354</v>
      </c>
      <c r="W41" s="19">
        <f t="shared" si="11"/>
        <v>380258.46666666685</v>
      </c>
      <c r="X41" s="19">
        <f t="shared" si="11"/>
        <v>392638.46666666685</v>
      </c>
      <c r="Y41" s="19">
        <f t="shared" si="11"/>
        <v>388321.8000000002</v>
      </c>
      <c r="Z41" s="19">
        <f t="shared" si="11"/>
        <v>479301.8000000002</v>
      </c>
      <c r="AA41" s="19">
        <f t="shared" si="11"/>
        <v>469360.1333333336</v>
      </c>
      <c r="AB41" s="19"/>
    </row>
    <row r="42" ht="12">
      <c r="B42" s="2" t="s">
        <v>68</v>
      </c>
    </row>
    <row r="43" spans="1:2" ht="15">
      <c r="A43" s="13" t="s">
        <v>52</v>
      </c>
      <c r="B43" s="25">
        <v>350</v>
      </c>
    </row>
    <row r="44" spans="1:2" ht="15">
      <c r="A44" s="13" t="s">
        <v>53</v>
      </c>
      <c r="B44" s="25">
        <v>0</v>
      </c>
    </row>
    <row r="45" spans="1:2" ht="15">
      <c r="A45" s="13" t="s">
        <v>54</v>
      </c>
      <c r="B45" s="25">
        <v>0</v>
      </c>
    </row>
    <row r="46" spans="1:2" ht="15">
      <c r="A46" s="13" t="s">
        <v>64</v>
      </c>
      <c r="B46" s="25">
        <v>70</v>
      </c>
    </row>
    <row r="47" spans="1:2" ht="15">
      <c r="A47" s="13" t="s">
        <v>55</v>
      </c>
      <c r="B47" s="25">
        <v>2500</v>
      </c>
    </row>
    <row r="48" spans="1:2" ht="15">
      <c r="A48" s="13" t="s">
        <v>57</v>
      </c>
      <c r="B48" s="25">
        <v>7000</v>
      </c>
    </row>
    <row r="49" spans="1:2" ht="15">
      <c r="A49" s="13" t="s">
        <v>44</v>
      </c>
      <c r="B49" s="25">
        <v>7000</v>
      </c>
    </row>
    <row r="50" spans="1:2" ht="15">
      <c r="A50" s="13" t="s">
        <v>58</v>
      </c>
      <c r="B50" s="25">
        <v>7500</v>
      </c>
    </row>
    <row r="51" spans="1:2" ht="15">
      <c r="A51" s="13" t="s">
        <v>59</v>
      </c>
      <c r="B51" s="25">
        <v>2000</v>
      </c>
    </row>
    <row r="52" spans="1:2" ht="30">
      <c r="A52" s="24" t="s">
        <v>60</v>
      </c>
      <c r="B52" s="26">
        <f>SUM(B47:B50)+B51*1.25</f>
        <v>26500</v>
      </c>
    </row>
    <row r="53" spans="1:2" ht="15">
      <c r="A53" s="13" t="s">
        <v>62</v>
      </c>
      <c r="B53" s="26">
        <f>(AB6+AB8*1.25)/SUM(B43:B45)</f>
        <v>26500</v>
      </c>
    </row>
    <row r="54" spans="1:3" ht="15">
      <c r="A54" s="13" t="s">
        <v>85</v>
      </c>
      <c r="B54" s="27">
        <f>(Z41-100000)/SUM(B43:B45)</f>
        <v>1083.7194285714293</v>
      </c>
      <c r="C54" s="2" t="s">
        <v>91</v>
      </c>
    </row>
    <row r="55" spans="1:2" ht="30">
      <c r="A55" s="24" t="s">
        <v>61</v>
      </c>
      <c r="B55" s="25">
        <f>B53-B54</f>
        <v>25416.28057142857</v>
      </c>
    </row>
  </sheetData>
  <sheetProtection/>
  <printOptions gridLines="1"/>
  <pageMargins left="0.7500000000000001" right="0.7500000000000001" top="1" bottom="0.21999999999999997" header="0.5" footer="0.10999999999999999"/>
  <pageSetup blackAndWhite="1" fitToHeight="0" fitToWidth="2" orientation="landscape" paperSize="9" scale="62"/>
  <headerFooter alignWithMargins="0">
    <oddHeader>&amp;L&amp;"Times New Roman,Normal"&amp;12&amp;K000000Länghem landsbygd fiber ek. för.
&amp;"Times New Roman,Fet"&amp;14Likviditetsbudget 2015/2016&amp;C&amp;"Times New Roman,Normal"&amp;12&amp;K000000Utskriven &amp;D&amp;R&amp;"Times New Roman,Normal"&amp;12&amp;K000000Sid: &amp;P(&amp;N)</oddHeader>
  </headerFooter>
  <rowBreaks count="1" manualBreakCount="1">
    <brk id="40"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C55"/>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B54" sqref="B54"/>
    </sheetView>
  </sheetViews>
  <sheetFormatPr defaultColWidth="8.8515625" defaultRowHeight="12.75"/>
  <cols>
    <col min="1" max="1" width="24.28125" style="21" customWidth="1"/>
    <col min="2" max="2" width="13.00390625" style="2" customWidth="1"/>
    <col min="3" max="3" width="9.421875" style="2" customWidth="1"/>
    <col min="4" max="4" width="10.140625" style="2" customWidth="1"/>
    <col min="5" max="5" width="9.8515625" style="2" bestFit="1" customWidth="1"/>
    <col min="6" max="6" width="10.421875" style="2" customWidth="1"/>
    <col min="7" max="7" width="11.28125" style="2" bestFit="1" customWidth="1"/>
    <col min="8" max="8" width="12.7109375" style="2" customWidth="1"/>
    <col min="9" max="9" width="12.421875" style="2" customWidth="1"/>
    <col min="10" max="10" width="13.00390625" style="2" customWidth="1"/>
    <col min="11" max="12" width="12.421875" style="2" bestFit="1" customWidth="1"/>
    <col min="13" max="13" width="12.7109375" style="2" customWidth="1"/>
    <col min="14" max="14" width="12.28125" style="2" customWidth="1"/>
    <col min="15" max="15" width="12.421875" style="2" customWidth="1"/>
    <col min="16" max="16" width="12.28125" style="2" customWidth="1"/>
    <col min="17" max="18" width="12.140625" style="2" customWidth="1"/>
    <col min="19" max="19" width="12.8515625" style="2" customWidth="1"/>
    <col min="20" max="20" width="12.7109375" style="2" customWidth="1"/>
    <col min="21" max="21" width="12.421875" style="2" customWidth="1"/>
    <col min="22" max="22" width="14.421875" style="2" customWidth="1"/>
    <col min="23" max="23" width="12.7109375" style="2" bestFit="1" customWidth="1"/>
    <col min="24" max="24" width="12.421875" style="2" bestFit="1" customWidth="1"/>
    <col min="25" max="25" width="12.7109375" style="2" customWidth="1"/>
    <col min="26" max="26" width="12.28125" style="2" customWidth="1"/>
    <col min="27" max="27" width="12.421875" style="2" customWidth="1"/>
    <col min="28" max="28" width="13.140625" style="2" customWidth="1"/>
    <col min="29" max="29" width="20.7109375" style="2" customWidth="1"/>
    <col min="30" max="16384" width="8.8515625" style="2" customWidth="1"/>
  </cols>
  <sheetData>
    <row r="1" spans="1:26" s="28" customFormat="1" ht="13.5" customHeight="1">
      <c r="A1" s="30"/>
      <c r="B1" s="31">
        <v>2015</v>
      </c>
      <c r="G1" s="29"/>
      <c r="H1" s="32"/>
      <c r="N1" s="32">
        <v>2016</v>
      </c>
      <c r="S1" s="29"/>
      <c r="T1" s="32"/>
      <c r="Z1" s="32">
        <v>2017</v>
      </c>
    </row>
    <row r="2" spans="1:28" ht="18.75">
      <c r="A2" s="22"/>
      <c r="B2" s="1"/>
      <c r="C2" s="1"/>
      <c r="D2" s="1"/>
      <c r="F2" s="1" t="s">
        <v>45</v>
      </c>
      <c r="G2" s="3"/>
      <c r="H2" s="4"/>
      <c r="J2" s="1" t="s">
        <v>50</v>
      </c>
      <c r="M2" s="23" t="s">
        <v>49</v>
      </c>
      <c r="N2" s="1" t="s">
        <v>46</v>
      </c>
      <c r="O2" s="1"/>
      <c r="P2" s="1" t="s">
        <v>51</v>
      </c>
      <c r="Q2" s="1" t="s">
        <v>48</v>
      </c>
      <c r="R2" s="1"/>
      <c r="S2" s="1" t="s">
        <v>47</v>
      </c>
      <c r="T2" s="4"/>
      <c r="V2" s="1"/>
      <c r="Z2" s="1"/>
      <c r="AA2" s="1"/>
      <c r="AB2" s="1"/>
    </row>
    <row r="3" spans="1:29" s="7" customFormat="1" ht="15.75">
      <c r="A3" s="5"/>
      <c r="B3" s="6" t="s">
        <v>0</v>
      </c>
      <c r="C3" s="6" t="s">
        <v>1</v>
      </c>
      <c r="D3" s="6" t="s">
        <v>2</v>
      </c>
      <c r="E3" s="6" t="s">
        <v>3</v>
      </c>
      <c r="F3" s="6" t="s">
        <v>4</v>
      </c>
      <c r="G3" s="6" t="s">
        <v>5</v>
      </c>
      <c r="H3" s="6" t="s">
        <v>6</v>
      </c>
      <c r="I3" s="6" t="s">
        <v>7</v>
      </c>
      <c r="J3" s="6" t="s">
        <v>8</v>
      </c>
      <c r="K3" s="6" t="s">
        <v>9</v>
      </c>
      <c r="L3" s="6" t="s">
        <v>10</v>
      </c>
      <c r="M3" s="6" t="s">
        <v>11</v>
      </c>
      <c r="N3" s="6" t="s">
        <v>0</v>
      </c>
      <c r="O3" s="6" t="s">
        <v>1</v>
      </c>
      <c r="P3" s="6" t="s">
        <v>2</v>
      </c>
      <c r="Q3" s="6" t="s">
        <v>3</v>
      </c>
      <c r="R3" s="6" t="s">
        <v>4</v>
      </c>
      <c r="S3" s="6" t="s">
        <v>5</v>
      </c>
      <c r="T3" s="6" t="s">
        <v>6</v>
      </c>
      <c r="U3" s="6" t="s">
        <v>7</v>
      </c>
      <c r="V3" s="6" t="s">
        <v>8</v>
      </c>
      <c r="W3" s="6" t="s">
        <v>9</v>
      </c>
      <c r="X3" s="6" t="s">
        <v>10</v>
      </c>
      <c r="Y3" s="6" t="s">
        <v>11</v>
      </c>
      <c r="Z3" s="6" t="s">
        <v>0</v>
      </c>
      <c r="AA3" s="6" t="s">
        <v>1</v>
      </c>
      <c r="AB3" s="6" t="s">
        <v>56</v>
      </c>
      <c r="AC3" s="6" t="s">
        <v>34</v>
      </c>
    </row>
    <row r="4" spans="1:28" ht="15.75">
      <c r="A4" s="8" t="s">
        <v>67</v>
      </c>
      <c r="B4" s="12">
        <v>0</v>
      </c>
      <c r="C4" s="12">
        <f>B4+B15-B40</f>
        <v>1470</v>
      </c>
      <c r="D4" s="12">
        <f>2402+62299</f>
        <v>64701</v>
      </c>
      <c r="E4" s="9"/>
      <c r="F4" s="9"/>
      <c r="G4" s="9"/>
      <c r="H4" s="9"/>
      <c r="I4" s="9"/>
      <c r="J4" s="9"/>
      <c r="K4" s="9"/>
      <c r="L4" s="9"/>
      <c r="M4" s="9"/>
      <c r="N4" s="9"/>
      <c r="O4" s="9"/>
      <c r="P4" s="9"/>
      <c r="Q4" s="9"/>
      <c r="R4" s="9"/>
      <c r="S4" s="9"/>
      <c r="T4" s="9"/>
      <c r="U4" s="9"/>
      <c r="V4" s="9"/>
      <c r="W4" s="9"/>
      <c r="X4" s="9"/>
      <c r="Y4" s="9"/>
      <c r="Z4" s="9"/>
      <c r="AA4" s="9"/>
      <c r="AB4" s="9"/>
    </row>
    <row r="5" spans="1:28" s="7" customFormat="1" ht="18.75">
      <c r="A5" s="10" t="s">
        <v>12</v>
      </c>
      <c r="B5" s="11"/>
      <c r="C5" s="11"/>
      <c r="D5" s="11"/>
      <c r="E5" s="11"/>
      <c r="F5" s="11"/>
      <c r="G5" s="11"/>
      <c r="H5" s="11"/>
      <c r="I5" s="11"/>
      <c r="J5" s="11"/>
      <c r="K5" s="11"/>
      <c r="L5" s="11"/>
      <c r="M5" s="11"/>
      <c r="N5" s="11"/>
      <c r="O5" s="11"/>
      <c r="P5" s="11"/>
      <c r="Q5" s="11"/>
      <c r="R5" s="11"/>
      <c r="S5" s="11"/>
      <c r="T5" s="11"/>
      <c r="U5" s="11"/>
      <c r="V5" s="11"/>
      <c r="W5" s="11"/>
      <c r="X5" s="11"/>
      <c r="Y5" s="11"/>
      <c r="Z5" s="11"/>
      <c r="AA5" s="11"/>
      <c r="AB5" s="11"/>
    </row>
    <row r="6" spans="1:28" ht="15.75">
      <c r="A6" s="13" t="s">
        <v>13</v>
      </c>
      <c r="B6" s="12">
        <v>0</v>
      </c>
      <c r="C6" s="12">
        <v>0</v>
      </c>
      <c r="D6" s="12">
        <v>0</v>
      </c>
      <c r="E6" s="12">
        <v>0</v>
      </c>
      <c r="F6" s="12">
        <f>B47*B43/4</f>
        <v>250000</v>
      </c>
      <c r="G6" s="12">
        <f>B47*B43/4</f>
        <v>250000</v>
      </c>
      <c r="H6" s="12">
        <f>B47*B43/4</f>
        <v>250000</v>
      </c>
      <c r="I6" s="12">
        <f>B47*B43/8</f>
        <v>125000</v>
      </c>
      <c r="J6" s="12">
        <f>B47*B43/8+B48*B43/2</f>
        <v>1425000</v>
      </c>
      <c r="K6" s="12">
        <f>B48*B43/2</f>
        <v>1300000</v>
      </c>
      <c r="L6" s="12">
        <v>0</v>
      </c>
      <c r="M6" s="12">
        <f>(B47+B48)*B44</f>
        <v>450000</v>
      </c>
      <c r="N6" s="12">
        <f>B49*B43/2</f>
        <v>1000000</v>
      </c>
      <c r="O6" s="12">
        <f>B49*(B43/2+B44)</f>
        <v>1250000</v>
      </c>
      <c r="P6" s="12">
        <f>(B47+B48+B49)*B45</f>
        <v>280000</v>
      </c>
      <c r="Q6" s="12">
        <f>B50*(B43/2+B44/2)</f>
        <v>675000</v>
      </c>
      <c r="R6" s="12">
        <f>B50*(B43/2+B44/2+B45)</f>
        <v>735000</v>
      </c>
      <c r="S6" s="12"/>
      <c r="T6" s="12"/>
      <c r="U6" s="12"/>
      <c r="V6" s="12"/>
      <c r="W6" s="12"/>
      <c r="X6" s="12">
        <v>0</v>
      </c>
      <c r="Y6" s="12">
        <v>0</v>
      </c>
      <c r="Z6" s="12">
        <v>0</v>
      </c>
      <c r="AA6" s="12">
        <v>0</v>
      </c>
      <c r="AB6" s="12">
        <f>SUM(B6:AA6)</f>
        <v>7990000</v>
      </c>
    </row>
    <row r="7" spans="1:28" ht="15.75">
      <c r="A7" s="13" t="s">
        <v>32</v>
      </c>
      <c r="B7" s="12">
        <v>0</v>
      </c>
      <c r="C7" s="12">
        <v>0</v>
      </c>
      <c r="D7" s="12">
        <f>9*100</f>
        <v>900</v>
      </c>
      <c r="E7" s="12">
        <f>10*100</f>
        <v>1000</v>
      </c>
      <c r="F7" s="12">
        <f>100*100</f>
        <v>10000</v>
      </c>
      <c r="G7" s="12">
        <f>100*100</f>
        <v>10000</v>
      </c>
      <c r="H7" s="12">
        <f>100*100</f>
        <v>10000</v>
      </c>
      <c r="I7" s="12">
        <f>50*100</f>
        <v>5000</v>
      </c>
      <c r="J7" s="12">
        <f>31*100</f>
        <v>3100</v>
      </c>
      <c r="K7" s="12"/>
      <c r="L7" s="12"/>
      <c r="M7" s="12"/>
      <c r="N7" s="12">
        <f>100*(B43+B44)/2</f>
        <v>22500</v>
      </c>
      <c r="O7" s="12">
        <f>100*(B43+B44)/2</f>
        <v>22500</v>
      </c>
      <c r="P7" s="12"/>
      <c r="Q7" s="12">
        <f>B45*100</f>
        <v>2000</v>
      </c>
      <c r="R7" s="12"/>
      <c r="S7" s="12"/>
      <c r="T7" s="12"/>
      <c r="U7" s="12"/>
      <c r="V7" s="12"/>
      <c r="W7" s="12"/>
      <c r="X7" s="12"/>
      <c r="Y7" s="12"/>
      <c r="Z7" s="12"/>
      <c r="AA7" s="12"/>
      <c r="AB7" s="12">
        <f aca="true" t="shared" si="0" ref="AB7:AB14">SUM(B7:AA7)</f>
        <v>87000</v>
      </c>
    </row>
    <row r="8" spans="1:28" ht="15.75">
      <c r="A8" s="13" t="s">
        <v>14</v>
      </c>
      <c r="B8" s="12">
        <v>0</v>
      </c>
      <c r="C8" s="12">
        <v>0</v>
      </c>
      <c r="D8" s="12">
        <v>0</v>
      </c>
      <c r="E8" s="12">
        <v>0</v>
      </c>
      <c r="F8" s="12">
        <v>0</v>
      </c>
      <c r="G8" s="12">
        <v>0</v>
      </c>
      <c r="H8" s="12">
        <v>0</v>
      </c>
      <c r="I8" s="12">
        <v>0</v>
      </c>
      <c r="J8" s="12">
        <v>0</v>
      </c>
      <c r="K8" s="12">
        <v>0</v>
      </c>
      <c r="L8" s="12">
        <v>0</v>
      </c>
      <c r="M8" s="12">
        <v>0</v>
      </c>
      <c r="N8" s="12">
        <v>0</v>
      </c>
      <c r="O8" s="12">
        <v>0</v>
      </c>
      <c r="P8" s="12">
        <v>0</v>
      </c>
      <c r="Q8" s="12">
        <v>0</v>
      </c>
      <c r="R8" s="12">
        <v>0</v>
      </c>
      <c r="S8" s="12">
        <f>B51*(B43/4+B44/4+B45/4)</f>
        <v>235000</v>
      </c>
      <c r="T8" s="12">
        <f>B51*(B43/4+B44/4+B45/4)</f>
        <v>235000</v>
      </c>
      <c r="U8" s="12">
        <f>B51*(B43/2+B44/2+B45/2)</f>
        <v>470000</v>
      </c>
      <c r="V8" s="12">
        <v>0</v>
      </c>
      <c r="W8" s="12">
        <v>0</v>
      </c>
      <c r="X8" s="12">
        <v>0</v>
      </c>
      <c r="Y8" s="12">
        <v>0</v>
      </c>
      <c r="Z8" s="12">
        <v>0</v>
      </c>
      <c r="AA8" s="12">
        <v>0</v>
      </c>
      <c r="AB8" s="12">
        <f t="shared" si="0"/>
        <v>940000</v>
      </c>
    </row>
    <row r="9" spans="1:28" ht="15.75">
      <c r="A9" s="13" t="s">
        <v>15</v>
      </c>
      <c r="B9" s="12">
        <v>0</v>
      </c>
      <c r="C9" s="12">
        <v>0</v>
      </c>
      <c r="D9" s="12">
        <v>0</v>
      </c>
      <c r="E9" s="12">
        <v>0</v>
      </c>
      <c r="F9" s="12">
        <v>0</v>
      </c>
      <c r="G9" s="12">
        <v>0</v>
      </c>
      <c r="H9" s="12">
        <v>0</v>
      </c>
      <c r="I9" s="12">
        <v>0</v>
      </c>
      <c r="J9" s="12">
        <v>0</v>
      </c>
      <c r="K9" s="12">
        <v>0</v>
      </c>
      <c r="L9" s="12">
        <v>0</v>
      </c>
      <c r="M9" s="12">
        <v>0</v>
      </c>
      <c r="N9" s="12"/>
      <c r="O9" s="12"/>
      <c r="P9" s="12"/>
      <c r="Q9" s="12"/>
      <c r="R9" s="12"/>
      <c r="S9" s="12"/>
      <c r="T9" s="12"/>
      <c r="U9" s="12"/>
      <c r="V9" s="25">
        <f>((B43+B44+B45)*B46*0.8)*4</f>
        <v>105280</v>
      </c>
      <c r="W9" s="12">
        <v>0</v>
      </c>
      <c r="X9" s="12">
        <v>0</v>
      </c>
      <c r="Y9" s="12">
        <v>0</v>
      </c>
      <c r="Z9" s="12">
        <f>((B43+B44+B45)*B46*0.8)*4</f>
        <v>105280</v>
      </c>
      <c r="AA9" s="12">
        <v>0</v>
      </c>
      <c r="AB9" s="12">
        <f t="shared" si="0"/>
        <v>210560</v>
      </c>
    </row>
    <row r="10" spans="1:28" ht="15.75">
      <c r="A10" s="13" t="s">
        <v>16</v>
      </c>
      <c r="B10" s="12">
        <v>0</v>
      </c>
      <c r="C10" s="12">
        <v>0</v>
      </c>
      <c r="D10" s="12">
        <v>0</v>
      </c>
      <c r="E10" s="12">
        <v>0</v>
      </c>
      <c r="F10" s="12">
        <v>0</v>
      </c>
      <c r="G10" s="12">
        <v>0</v>
      </c>
      <c r="H10" s="12">
        <v>50000</v>
      </c>
      <c r="I10" s="12">
        <v>0</v>
      </c>
      <c r="J10" s="12">
        <f>40*(B43+B44+B45)*60</f>
        <v>1128000</v>
      </c>
      <c r="K10" s="12">
        <v>0</v>
      </c>
      <c r="L10" s="12">
        <v>0</v>
      </c>
      <c r="M10" s="12">
        <v>0</v>
      </c>
      <c r="N10" s="12"/>
      <c r="O10" s="12"/>
      <c r="P10" s="12"/>
      <c r="Q10" s="12"/>
      <c r="R10" s="12"/>
      <c r="S10" s="12"/>
      <c r="T10" s="12"/>
      <c r="U10" s="12"/>
      <c r="V10" s="12"/>
      <c r="W10" s="12"/>
      <c r="X10" s="12">
        <v>0</v>
      </c>
      <c r="Y10" s="12">
        <v>0</v>
      </c>
      <c r="Z10" s="12"/>
      <c r="AA10" s="12"/>
      <c r="AB10" s="12">
        <f t="shared" si="0"/>
        <v>1178000</v>
      </c>
    </row>
    <row r="11" spans="1:28" ht="15.75">
      <c r="A11" s="13" t="s">
        <v>17</v>
      </c>
      <c r="B11" s="12">
        <v>0</v>
      </c>
      <c r="C11" s="12">
        <v>0</v>
      </c>
      <c r="D11" s="12">
        <v>0</v>
      </c>
      <c r="E11" s="12">
        <v>0</v>
      </c>
      <c r="F11" s="12">
        <v>0</v>
      </c>
      <c r="G11" s="12">
        <v>0</v>
      </c>
      <c r="H11" s="12">
        <v>0</v>
      </c>
      <c r="I11" s="12">
        <v>0</v>
      </c>
      <c r="J11" s="12">
        <v>1700000</v>
      </c>
      <c r="K11" s="12">
        <v>0</v>
      </c>
      <c r="L11" s="12">
        <v>0</v>
      </c>
      <c r="M11" s="12">
        <v>0</v>
      </c>
      <c r="N11" s="12"/>
      <c r="O11" s="12"/>
      <c r="P11" s="12"/>
      <c r="Q11" s="12"/>
      <c r="R11" s="12"/>
      <c r="S11" s="12"/>
      <c r="T11" s="12"/>
      <c r="U11" s="12"/>
      <c r="V11" s="12">
        <v>1700000</v>
      </c>
      <c r="W11" s="12"/>
      <c r="X11" s="12">
        <v>0</v>
      </c>
      <c r="Y11" s="12">
        <v>0</v>
      </c>
      <c r="Z11" s="12"/>
      <c r="AA11" s="12"/>
      <c r="AB11" s="12">
        <f t="shared" si="0"/>
        <v>3400000</v>
      </c>
    </row>
    <row r="12" spans="1:28" ht="15.75">
      <c r="A12" s="13" t="s">
        <v>18</v>
      </c>
      <c r="B12" s="12">
        <v>0</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c r="AB12" s="12">
        <f t="shared" si="0"/>
        <v>0</v>
      </c>
    </row>
    <row r="13" spans="1:28" ht="15.75">
      <c r="A13" s="13" t="s">
        <v>39</v>
      </c>
      <c r="B13" s="12">
        <f aca="true" t="shared" si="1" ref="B13:G13">SUM(B8:B10)*0.25</f>
        <v>0</v>
      </c>
      <c r="C13" s="12">
        <f t="shared" si="1"/>
        <v>0</v>
      </c>
      <c r="D13" s="12">
        <f t="shared" si="1"/>
        <v>0</v>
      </c>
      <c r="E13" s="12">
        <f t="shared" si="1"/>
        <v>0</v>
      </c>
      <c r="F13" s="12">
        <f t="shared" si="1"/>
        <v>0</v>
      </c>
      <c r="G13" s="12">
        <f t="shared" si="1"/>
        <v>0</v>
      </c>
      <c r="H13" s="12">
        <f aca="true" t="shared" si="2" ref="H13:M13">SUM(H9:H11)*0.25</f>
        <v>12500</v>
      </c>
      <c r="I13" s="12">
        <f t="shared" si="2"/>
        <v>0</v>
      </c>
      <c r="J13" s="12">
        <f t="shared" si="2"/>
        <v>707000</v>
      </c>
      <c r="K13" s="12">
        <f t="shared" si="2"/>
        <v>0</v>
      </c>
      <c r="L13" s="12">
        <f t="shared" si="2"/>
        <v>0</v>
      </c>
      <c r="M13" s="12">
        <f t="shared" si="2"/>
        <v>0</v>
      </c>
      <c r="N13" s="12">
        <f aca="true" t="shared" si="3" ref="N13:S13">SUM(N8:N10)*0.25</f>
        <v>0</v>
      </c>
      <c r="O13" s="12">
        <f t="shared" si="3"/>
        <v>0</v>
      </c>
      <c r="P13" s="12">
        <f t="shared" si="3"/>
        <v>0</v>
      </c>
      <c r="Q13" s="12">
        <f t="shared" si="3"/>
        <v>0</v>
      </c>
      <c r="R13" s="12">
        <f t="shared" si="3"/>
        <v>0</v>
      </c>
      <c r="S13" s="12">
        <f t="shared" si="3"/>
        <v>58750</v>
      </c>
      <c r="T13" s="12">
        <f>SUM(T9:T11)*0.25</f>
        <v>0</v>
      </c>
      <c r="U13" s="12">
        <f>SUM(U9:U11)*0.25</f>
        <v>0</v>
      </c>
      <c r="V13" s="12">
        <f>SUM(V8:V11)*0.25</f>
        <v>451320</v>
      </c>
      <c r="W13" s="12">
        <f>SUM(W8:W11)*0.25</f>
        <v>0</v>
      </c>
      <c r="X13" s="12">
        <f>SUM(X9:X11)*0.25</f>
        <v>0</v>
      </c>
      <c r="Y13" s="12">
        <f>SUM(Y9:Y11)*0.25</f>
        <v>0</v>
      </c>
      <c r="Z13" s="12">
        <f>SUM(Z8:Z10)*0.25</f>
        <v>26320</v>
      </c>
      <c r="AA13" s="12">
        <f>SUM(AA8:AA10)*0.25</f>
        <v>0</v>
      </c>
      <c r="AB13" s="12">
        <f t="shared" si="0"/>
        <v>1255890</v>
      </c>
    </row>
    <row r="14" spans="1:28" ht="16.5" thickBot="1">
      <c r="A14" s="13" t="s">
        <v>42</v>
      </c>
      <c r="B14" s="12">
        <f>0</f>
        <v>0</v>
      </c>
      <c r="C14" s="12">
        <v>0</v>
      </c>
      <c r="D14" s="12">
        <v>0</v>
      </c>
      <c r="E14" s="12">
        <v>0</v>
      </c>
      <c r="F14" s="12">
        <v>0</v>
      </c>
      <c r="G14" s="12">
        <v>0</v>
      </c>
      <c r="H14" s="12">
        <v>0</v>
      </c>
      <c r="I14" s="12">
        <f aca="true" t="shared" si="4" ref="I14:AA14">IF(G13+G38&lt;0,-(G13+G38),0)</f>
        <v>78365</v>
      </c>
      <c r="J14" s="12">
        <f t="shared" si="4"/>
        <v>46425</v>
      </c>
      <c r="K14" s="12">
        <f t="shared" si="4"/>
        <v>940</v>
      </c>
      <c r="L14" s="12">
        <f t="shared" si="4"/>
        <v>0</v>
      </c>
      <c r="M14" s="12">
        <f t="shared" si="4"/>
        <v>229190</v>
      </c>
      <c r="N14" s="12">
        <f t="shared" si="4"/>
        <v>229075</v>
      </c>
      <c r="O14" s="12">
        <f t="shared" si="4"/>
        <v>229405</v>
      </c>
      <c r="P14" s="12">
        <f t="shared" si="4"/>
        <v>230259</v>
      </c>
      <c r="Q14" s="12">
        <f t="shared" si="4"/>
        <v>230786.66666666666</v>
      </c>
      <c r="R14" s="12">
        <f t="shared" si="4"/>
        <v>229531</v>
      </c>
      <c r="S14" s="12">
        <f t="shared" si="4"/>
        <v>231458.46666666667</v>
      </c>
      <c r="T14" s="12">
        <f t="shared" si="4"/>
        <v>229945</v>
      </c>
      <c r="U14" s="12">
        <f t="shared" si="4"/>
        <v>171356.5</v>
      </c>
      <c r="V14" s="12">
        <f t="shared" si="4"/>
        <v>229856.5</v>
      </c>
      <c r="W14" s="12">
        <f t="shared" si="4"/>
        <v>230734.66666666666</v>
      </c>
      <c r="X14" s="12">
        <f t="shared" si="4"/>
        <v>0</v>
      </c>
      <c r="Y14" s="12">
        <f t="shared" si="4"/>
        <v>1061.6666666666665</v>
      </c>
      <c r="Z14" s="12">
        <f t="shared" si="4"/>
        <v>895</v>
      </c>
      <c r="AA14" s="12">
        <f t="shared" si="4"/>
        <v>1061.6666666666665</v>
      </c>
      <c r="AB14" s="12">
        <f t="shared" si="0"/>
        <v>2600346.133333333</v>
      </c>
    </row>
    <row r="15" spans="1:28" s="16" customFormat="1" ht="15.75">
      <c r="A15" s="14" t="s">
        <v>19</v>
      </c>
      <c r="B15" s="15">
        <f aca="true" t="shared" si="5" ref="B15:AA15">SUM(B6:B14)</f>
        <v>0</v>
      </c>
      <c r="C15" s="15">
        <f t="shared" si="5"/>
        <v>0</v>
      </c>
      <c r="D15" s="15">
        <f t="shared" si="5"/>
        <v>900</v>
      </c>
      <c r="E15" s="15">
        <f t="shared" si="5"/>
        <v>1000</v>
      </c>
      <c r="F15" s="15">
        <f t="shared" si="5"/>
        <v>260000</v>
      </c>
      <c r="G15" s="15">
        <f t="shared" si="5"/>
        <v>260000</v>
      </c>
      <c r="H15" s="15">
        <f t="shared" si="5"/>
        <v>322500</v>
      </c>
      <c r="I15" s="15">
        <f t="shared" si="5"/>
        <v>208365</v>
      </c>
      <c r="J15" s="15">
        <f t="shared" si="5"/>
        <v>5009525</v>
      </c>
      <c r="K15" s="15">
        <f t="shared" si="5"/>
        <v>1300940</v>
      </c>
      <c r="L15" s="15">
        <f t="shared" si="5"/>
        <v>0</v>
      </c>
      <c r="M15" s="15">
        <f t="shared" si="5"/>
        <v>679190</v>
      </c>
      <c r="N15" s="15">
        <f t="shared" si="5"/>
        <v>1251575</v>
      </c>
      <c r="O15" s="15">
        <f t="shared" si="5"/>
        <v>1501905</v>
      </c>
      <c r="P15" s="15">
        <f t="shared" si="5"/>
        <v>510259</v>
      </c>
      <c r="Q15" s="15">
        <f t="shared" si="5"/>
        <v>907786.6666666666</v>
      </c>
      <c r="R15" s="15">
        <f t="shared" si="5"/>
        <v>964531</v>
      </c>
      <c r="S15" s="15">
        <f t="shared" si="5"/>
        <v>525208.4666666667</v>
      </c>
      <c r="T15" s="15">
        <f t="shared" si="5"/>
        <v>464945</v>
      </c>
      <c r="U15" s="15">
        <f t="shared" si="5"/>
        <v>641356.5</v>
      </c>
      <c r="V15" s="15">
        <f t="shared" si="5"/>
        <v>2486456.5</v>
      </c>
      <c r="W15" s="15">
        <f t="shared" si="5"/>
        <v>230734.66666666666</v>
      </c>
      <c r="X15" s="15">
        <f t="shared" si="5"/>
        <v>0</v>
      </c>
      <c r="Y15" s="15">
        <f t="shared" si="5"/>
        <v>1061.6666666666665</v>
      </c>
      <c r="Z15" s="15">
        <f t="shared" si="5"/>
        <v>132495</v>
      </c>
      <c r="AA15" s="15">
        <f t="shared" si="5"/>
        <v>1061.6666666666665</v>
      </c>
      <c r="AB15" s="15"/>
    </row>
    <row r="16" spans="1:28" s="7" customFormat="1" ht="20.25">
      <c r="A16" s="17" t="s">
        <v>20</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row>
    <row r="17" spans="1:29" ht="15.75">
      <c r="A17" s="13" t="s">
        <v>82</v>
      </c>
      <c r="B17" s="12">
        <v>0</v>
      </c>
      <c r="C17" s="12">
        <v>0</v>
      </c>
      <c r="D17" s="12">
        <v>0</v>
      </c>
      <c r="E17" s="12">
        <v>0</v>
      </c>
      <c r="F17" s="12">
        <v>0</v>
      </c>
      <c r="G17" s="12">
        <v>-69000</v>
      </c>
      <c r="H17" s="12">
        <v>0</v>
      </c>
      <c r="I17" s="12">
        <v>0</v>
      </c>
      <c r="J17" s="12">
        <v>-315000</v>
      </c>
      <c r="K17" s="12">
        <v>-315000</v>
      </c>
      <c r="L17" s="12">
        <v>-315000</v>
      </c>
      <c r="M17" s="12">
        <v>-315000</v>
      </c>
      <c r="N17" s="12">
        <v>-315000</v>
      </c>
      <c r="O17" s="12">
        <v>-315000</v>
      </c>
      <c r="P17" s="12">
        <v>-315000</v>
      </c>
      <c r="Q17" s="12">
        <v>-315000</v>
      </c>
      <c r="R17" s="12">
        <v>-315000</v>
      </c>
      <c r="S17" s="12">
        <v>-315000</v>
      </c>
      <c r="T17" s="12">
        <v>-315000</v>
      </c>
      <c r="U17" s="12">
        <v>-315000</v>
      </c>
      <c r="V17" s="12"/>
      <c r="W17" s="12"/>
      <c r="X17" s="12"/>
      <c r="Y17" s="12"/>
      <c r="Z17" s="12"/>
      <c r="AA17" s="12"/>
      <c r="AB17" s="12">
        <f>SUM(B17:AA17)</f>
        <v>-3849000</v>
      </c>
      <c r="AC17" s="33">
        <v>3.6</v>
      </c>
    </row>
    <row r="18" spans="1:29" ht="15.75">
      <c r="A18" s="13" t="s">
        <v>83</v>
      </c>
      <c r="B18" s="12">
        <v>0</v>
      </c>
      <c r="C18" s="12">
        <v>0</v>
      </c>
      <c r="D18" s="12">
        <v>0</v>
      </c>
      <c r="E18" s="12">
        <v>0</v>
      </c>
      <c r="F18" s="12">
        <v>0</v>
      </c>
      <c r="G18" s="12">
        <f>-380000/2</f>
        <v>-190000</v>
      </c>
      <c r="H18" s="12">
        <f>-380000/2</f>
        <v>-190000</v>
      </c>
      <c r="I18" s="12">
        <v>0</v>
      </c>
      <c r="J18" s="12">
        <v>-600000</v>
      </c>
      <c r="K18" s="12">
        <v>-600000</v>
      </c>
      <c r="L18" s="12">
        <v>-600000</v>
      </c>
      <c r="M18" s="12">
        <v>-600000</v>
      </c>
      <c r="N18" s="12">
        <v>-600000</v>
      </c>
      <c r="O18" s="12">
        <v>-600000</v>
      </c>
      <c r="P18" s="12">
        <v>-600000</v>
      </c>
      <c r="Q18" s="12">
        <v>-600000</v>
      </c>
      <c r="R18" s="12">
        <v>-600000</v>
      </c>
      <c r="S18" s="12">
        <v>-600000</v>
      </c>
      <c r="T18" s="12">
        <v>-600000</v>
      </c>
      <c r="U18" s="12">
        <v>-600000</v>
      </c>
      <c r="V18" s="12"/>
      <c r="W18" s="12"/>
      <c r="X18" s="12"/>
      <c r="Y18" s="12"/>
      <c r="Z18" s="12"/>
      <c r="AA18" s="12"/>
      <c r="AB18" s="12">
        <f>SUM(B18:AA18)</f>
        <v>-7580000</v>
      </c>
      <c r="AC18" s="33">
        <v>5.75</v>
      </c>
    </row>
    <row r="19" spans="1:29" ht="15.75">
      <c r="A19" s="13" t="s">
        <v>84</v>
      </c>
      <c r="B19" s="12"/>
      <c r="C19" s="38">
        <v>-24000</v>
      </c>
      <c r="D19" s="12"/>
      <c r="E19" s="12"/>
      <c r="F19" s="12"/>
      <c r="G19" s="12">
        <f>-7800+0.5*0.2*(G18+H18+G17+H17)</f>
        <v>-52700</v>
      </c>
      <c r="H19" s="12">
        <f>0.5*0.2*(G18+H18+G17+H17)</f>
        <v>-44900</v>
      </c>
      <c r="I19" s="12">
        <v>0</v>
      </c>
      <c r="J19" s="12"/>
      <c r="K19" s="12"/>
      <c r="L19" s="12"/>
      <c r="M19" s="12"/>
      <c r="N19" s="12"/>
      <c r="O19" s="12"/>
      <c r="P19" s="12"/>
      <c r="Q19" s="12"/>
      <c r="R19" s="12"/>
      <c r="S19" s="12"/>
      <c r="T19" s="12"/>
      <c r="U19" s="12"/>
      <c r="V19" s="12">
        <v>-140000</v>
      </c>
      <c r="W19" s="12"/>
      <c r="X19" s="12"/>
      <c r="Y19" s="12"/>
      <c r="Z19" s="12"/>
      <c r="AA19" s="12"/>
      <c r="AB19" s="12">
        <f>SUM(B19:AA19)</f>
        <v>-261600</v>
      </c>
      <c r="AC19" s="33"/>
    </row>
    <row r="20" spans="1:28" ht="15.75">
      <c r="A20" s="13" t="s">
        <v>21</v>
      </c>
      <c r="B20" s="12">
        <v>0</v>
      </c>
      <c r="C20" s="12">
        <v>0</v>
      </c>
      <c r="D20" s="12">
        <v>0</v>
      </c>
      <c r="E20" s="12">
        <v>0</v>
      </c>
      <c r="F20" s="12">
        <v>0</v>
      </c>
      <c r="G20" s="12">
        <v>0</v>
      </c>
      <c r="H20" s="12">
        <v>0</v>
      </c>
      <c r="I20" s="12">
        <v>0</v>
      </c>
      <c r="J20" s="12">
        <v>0</v>
      </c>
      <c r="K20" s="12">
        <v>0</v>
      </c>
      <c r="L20" s="12">
        <v>0</v>
      </c>
      <c r="M20" s="12">
        <v>0</v>
      </c>
      <c r="N20" s="12">
        <v>0</v>
      </c>
      <c r="O20" s="12">
        <v>0</v>
      </c>
      <c r="P20" s="12">
        <v>0</v>
      </c>
      <c r="Q20" s="12">
        <v>0</v>
      </c>
      <c r="R20" s="12">
        <v>0</v>
      </c>
      <c r="S20" s="12">
        <v>0</v>
      </c>
      <c r="T20" s="12">
        <v>0</v>
      </c>
      <c r="U20" s="12">
        <v>0</v>
      </c>
      <c r="V20" s="12">
        <v>0</v>
      </c>
      <c r="W20" s="12">
        <v>0</v>
      </c>
      <c r="X20" s="12">
        <v>0</v>
      </c>
      <c r="Y20" s="12">
        <v>0</v>
      </c>
      <c r="Z20" s="12">
        <v>0</v>
      </c>
      <c r="AA20" s="12">
        <v>0</v>
      </c>
      <c r="AB20" s="12">
        <f aca="true" t="shared" si="6" ref="AB20:AB39">SUM(B20:AA20)</f>
        <v>0</v>
      </c>
    </row>
    <row r="21" spans="1:28" ht="15.75">
      <c r="A21" s="13" t="s">
        <v>22</v>
      </c>
      <c r="B21" s="12">
        <v>0</v>
      </c>
      <c r="C21" s="12">
        <v>0</v>
      </c>
      <c r="D21" s="12">
        <v>0</v>
      </c>
      <c r="E21" s="12">
        <v>0</v>
      </c>
      <c r="F21" s="12">
        <v>0</v>
      </c>
      <c r="G21" s="12">
        <v>0</v>
      </c>
      <c r="H21" s="12">
        <v>0</v>
      </c>
      <c r="I21" s="12">
        <v>0</v>
      </c>
      <c r="J21" s="12">
        <v>0</v>
      </c>
      <c r="K21" s="12">
        <v>0</v>
      </c>
      <c r="L21" s="12">
        <v>0</v>
      </c>
      <c r="M21" s="12">
        <v>0</v>
      </c>
      <c r="N21" s="12">
        <v>0</v>
      </c>
      <c r="O21" s="12">
        <v>0</v>
      </c>
      <c r="P21" s="12">
        <v>0</v>
      </c>
      <c r="Q21" s="12">
        <v>0</v>
      </c>
      <c r="R21" s="12">
        <v>0</v>
      </c>
      <c r="S21" s="12">
        <v>0</v>
      </c>
      <c r="T21" s="12">
        <v>0</v>
      </c>
      <c r="U21" s="12">
        <v>0</v>
      </c>
      <c r="V21" s="12">
        <v>0</v>
      </c>
      <c r="W21" s="12">
        <v>0</v>
      </c>
      <c r="X21" s="12">
        <v>0</v>
      </c>
      <c r="Y21" s="12">
        <v>0</v>
      </c>
      <c r="Z21" s="12">
        <v>0</v>
      </c>
      <c r="AA21" s="12">
        <v>0</v>
      </c>
      <c r="AB21" s="12">
        <f t="shared" si="6"/>
        <v>0</v>
      </c>
    </row>
    <row r="22" spans="1:28" ht="15.75">
      <c r="A22" s="13" t="s">
        <v>23</v>
      </c>
      <c r="B22" s="12">
        <v>0</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c r="AB22" s="12">
        <f t="shared" si="6"/>
        <v>0</v>
      </c>
    </row>
    <row r="23" spans="1:28" ht="15.75">
      <c r="A23" s="13" t="s">
        <v>24</v>
      </c>
      <c r="B23" s="12">
        <v>0</v>
      </c>
      <c r="C23" s="12">
        <v>0</v>
      </c>
      <c r="D23" s="12">
        <v>0</v>
      </c>
      <c r="E23" s="12">
        <v>0</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c r="AB23" s="12">
        <f t="shared" si="6"/>
        <v>0</v>
      </c>
    </row>
    <row r="24" spans="1:28" ht="31.5">
      <c r="A24" s="24" t="s">
        <v>63</v>
      </c>
      <c r="B24" s="12">
        <v>0</v>
      </c>
      <c r="C24" s="12">
        <v>0</v>
      </c>
      <c r="D24" s="12">
        <v>0</v>
      </c>
      <c r="E24" s="12">
        <v>0</v>
      </c>
      <c r="F24" s="12">
        <v>0</v>
      </c>
      <c r="G24" s="12">
        <v>0</v>
      </c>
      <c r="H24" s="12">
        <v>0</v>
      </c>
      <c r="I24" s="12">
        <v>0</v>
      </c>
      <c r="J24" s="12">
        <v>0</v>
      </c>
      <c r="K24" s="12">
        <v>0</v>
      </c>
      <c r="L24" s="12">
        <v>-500</v>
      </c>
      <c r="M24" s="12">
        <v>-500</v>
      </c>
      <c r="N24" s="12">
        <v>-300</v>
      </c>
      <c r="O24" s="12">
        <f>-300-4000/6</f>
        <v>-966.6666666666666</v>
      </c>
      <c r="P24" s="12">
        <f>-300</f>
        <v>-300</v>
      </c>
      <c r="Q24" s="12">
        <f>-3*300-4000/6</f>
        <v>-1566.6666666666665</v>
      </c>
      <c r="R24" s="12">
        <f>-3*300</f>
        <v>-900</v>
      </c>
      <c r="S24" s="12">
        <f>-3*300-4000/4</f>
        <v>-1900</v>
      </c>
      <c r="T24" s="12">
        <f>-3*300</f>
        <v>-900</v>
      </c>
      <c r="U24" s="12">
        <f>-3*300-4000/6</f>
        <v>-1566.6666666666665</v>
      </c>
      <c r="V24" s="12">
        <f>-3*300</f>
        <v>-900</v>
      </c>
      <c r="W24" s="12">
        <f>-3*300-4000/6</f>
        <v>-1566.6666666666665</v>
      </c>
      <c r="X24" s="12">
        <f>-3*300</f>
        <v>-900</v>
      </c>
      <c r="Y24" s="12">
        <f>-3*300-4000/6</f>
        <v>-1566.6666666666665</v>
      </c>
      <c r="Z24" s="12">
        <f>-3*300</f>
        <v>-900</v>
      </c>
      <c r="AA24" s="12">
        <f>-3*300-4000/6</f>
        <v>-1566.6666666666665</v>
      </c>
      <c r="AB24" s="12">
        <f t="shared" si="6"/>
        <v>-16800</v>
      </c>
    </row>
    <row r="25" spans="1:28" ht="15.75">
      <c r="A25" s="13" t="s">
        <v>25</v>
      </c>
      <c r="B25" s="12">
        <v>0</v>
      </c>
      <c r="C25" s="12">
        <v>0</v>
      </c>
      <c r="D25" s="12">
        <v>0</v>
      </c>
      <c r="E25" s="12">
        <v>0</v>
      </c>
      <c r="F25" s="12">
        <v>0</v>
      </c>
      <c r="G25" s="12">
        <v>0</v>
      </c>
      <c r="H25" s="12">
        <v>0</v>
      </c>
      <c r="I25" s="12">
        <v>0</v>
      </c>
      <c r="J25" s="12">
        <v>0</v>
      </c>
      <c r="K25" s="12">
        <v>0</v>
      </c>
      <c r="L25" s="12">
        <v>0</v>
      </c>
      <c r="M25" s="12">
        <v>0</v>
      </c>
      <c r="N25" s="12">
        <v>0</v>
      </c>
      <c r="O25" s="12">
        <v>0</v>
      </c>
      <c r="P25" s="12">
        <v>0</v>
      </c>
      <c r="Q25" s="12">
        <v>0</v>
      </c>
      <c r="R25" s="12">
        <v>0</v>
      </c>
      <c r="S25" s="12">
        <v>0</v>
      </c>
      <c r="T25" s="12">
        <v>0</v>
      </c>
      <c r="U25" s="12">
        <v>0</v>
      </c>
      <c r="V25" s="12">
        <v>0</v>
      </c>
      <c r="W25" s="12">
        <v>0</v>
      </c>
      <c r="X25" s="12">
        <v>0</v>
      </c>
      <c r="Y25" s="12">
        <v>0</v>
      </c>
      <c r="Z25" s="12">
        <v>0</v>
      </c>
      <c r="AA25" s="12">
        <v>0</v>
      </c>
      <c r="AB25" s="12">
        <f t="shared" si="6"/>
        <v>0</v>
      </c>
    </row>
    <row r="26" spans="1:28" ht="15.75">
      <c r="A26" s="13" t="s">
        <v>40</v>
      </c>
      <c r="B26" s="12">
        <v>-800</v>
      </c>
      <c r="C26" s="12">
        <v>-800</v>
      </c>
      <c r="D26" s="12">
        <v>-800</v>
      </c>
      <c r="E26" s="12">
        <v>-800</v>
      </c>
      <c r="F26" s="12">
        <v>-800</v>
      </c>
      <c r="G26" s="12">
        <v>-800</v>
      </c>
      <c r="H26" s="12">
        <v>-800</v>
      </c>
      <c r="I26" s="12">
        <v>-800</v>
      </c>
      <c r="J26" s="12">
        <v>-800</v>
      </c>
      <c r="K26" s="12">
        <v>-800</v>
      </c>
      <c r="L26" s="12">
        <v>-800</v>
      </c>
      <c r="M26" s="12">
        <v>-800</v>
      </c>
      <c r="N26" s="12">
        <v>-800</v>
      </c>
      <c r="O26" s="12">
        <v>-800</v>
      </c>
      <c r="P26" s="12">
        <v>-800</v>
      </c>
      <c r="Q26" s="12">
        <v>-800</v>
      </c>
      <c r="R26" s="12">
        <v>-800</v>
      </c>
      <c r="S26" s="12">
        <v>-800</v>
      </c>
      <c r="T26" s="12">
        <v>-800</v>
      </c>
      <c r="U26" s="12">
        <v>-800</v>
      </c>
      <c r="V26" s="12">
        <v>-800</v>
      </c>
      <c r="W26" s="12">
        <v>-800</v>
      </c>
      <c r="X26" s="12">
        <v>-800</v>
      </c>
      <c r="Y26" s="12">
        <v>-800</v>
      </c>
      <c r="Z26" s="12">
        <v>-800</v>
      </c>
      <c r="AA26" s="12">
        <v>-800</v>
      </c>
      <c r="AB26" s="12">
        <f t="shared" si="6"/>
        <v>-20800</v>
      </c>
    </row>
    <row r="27" spans="1:28" ht="15.75">
      <c r="A27" s="13" t="s">
        <v>35</v>
      </c>
      <c r="B27" s="12">
        <v>0</v>
      </c>
      <c r="C27" s="12">
        <v>0</v>
      </c>
      <c r="D27" s="12">
        <f>-1856*0.8</f>
        <v>-1484.8000000000002</v>
      </c>
      <c r="E27" s="12">
        <f>-1856*0.8</f>
        <v>-1484.8000000000002</v>
      </c>
      <c r="F27" s="12">
        <f>-600*0.8</f>
        <v>-480</v>
      </c>
      <c r="G27" s="12">
        <v>0</v>
      </c>
      <c r="H27" s="12">
        <v>0</v>
      </c>
      <c r="I27" s="12">
        <v>0</v>
      </c>
      <c r="J27" s="12">
        <v>0</v>
      </c>
      <c r="K27" s="12">
        <v>0</v>
      </c>
      <c r="L27" s="12">
        <v>0</v>
      </c>
      <c r="M27" s="12">
        <v>0</v>
      </c>
      <c r="N27" s="12">
        <v>0</v>
      </c>
      <c r="O27" s="12">
        <v>0</v>
      </c>
      <c r="P27" s="12"/>
      <c r="Q27" s="12">
        <f>-1856*0.8</f>
        <v>-1484.8000000000002</v>
      </c>
      <c r="R27" s="12"/>
      <c r="S27" s="12">
        <v>0</v>
      </c>
      <c r="T27" s="12">
        <v>0</v>
      </c>
      <c r="U27" s="12">
        <v>0</v>
      </c>
      <c r="V27" s="12">
        <v>0</v>
      </c>
      <c r="W27" s="12">
        <v>0</v>
      </c>
      <c r="X27" s="12">
        <v>0</v>
      </c>
      <c r="Y27" s="12">
        <v>0</v>
      </c>
      <c r="Z27" s="12">
        <v>0</v>
      </c>
      <c r="AA27" s="12">
        <v>0</v>
      </c>
      <c r="AB27" s="12">
        <f t="shared" si="6"/>
        <v>-4934.400000000001</v>
      </c>
    </row>
    <row r="28" spans="1:29" ht="15.75">
      <c r="A28" s="13" t="s">
        <v>26</v>
      </c>
      <c r="B28" s="12">
        <v>0</v>
      </c>
      <c r="C28" s="12">
        <v>0</v>
      </c>
      <c r="D28" s="12">
        <v>0</v>
      </c>
      <c r="E28" s="12">
        <f>-1200*0.8</f>
        <v>-960</v>
      </c>
      <c r="F28" s="12">
        <v>0</v>
      </c>
      <c r="G28" s="12">
        <f>-1200*0.8</f>
        <v>-960</v>
      </c>
      <c r="H28" s="12">
        <v>0</v>
      </c>
      <c r="I28" s="12">
        <f>-1200*0.8</f>
        <v>-960</v>
      </c>
      <c r="J28" s="12">
        <v>0</v>
      </c>
      <c r="K28" s="12">
        <f>-1200*0.8</f>
        <v>-960</v>
      </c>
      <c r="L28" s="12">
        <v>0</v>
      </c>
      <c r="M28" s="12">
        <f>-1200*0.8</f>
        <v>-960</v>
      </c>
      <c r="N28" s="12">
        <v>0</v>
      </c>
      <c r="O28" s="12">
        <v>0</v>
      </c>
      <c r="P28" s="12">
        <v>0</v>
      </c>
      <c r="Q28" s="12">
        <f>-1200*0.8</f>
        <v>-960</v>
      </c>
      <c r="R28" s="12">
        <v>0</v>
      </c>
      <c r="S28" s="12"/>
      <c r="T28" s="12">
        <v>0</v>
      </c>
      <c r="U28" s="12"/>
      <c r="V28" s="12">
        <v>0</v>
      </c>
      <c r="W28" s="12"/>
      <c r="X28" s="12">
        <v>0</v>
      </c>
      <c r="Y28" s="12"/>
      <c r="Z28" s="12">
        <v>0</v>
      </c>
      <c r="AA28" s="12">
        <v>0</v>
      </c>
      <c r="AB28" s="12">
        <f t="shared" si="6"/>
        <v>-5760</v>
      </c>
      <c r="AC28" s="2" t="s">
        <v>36</v>
      </c>
    </row>
    <row r="29" spans="1:28" ht="15.75">
      <c r="A29" s="13" t="s">
        <v>27</v>
      </c>
      <c r="B29" s="12">
        <v>0</v>
      </c>
      <c r="C29" s="12">
        <v>0</v>
      </c>
      <c r="D29" s="12">
        <v>0</v>
      </c>
      <c r="E29" s="12">
        <v>0</v>
      </c>
      <c r="F29" s="12">
        <v>0</v>
      </c>
      <c r="G29" s="12">
        <v>0</v>
      </c>
      <c r="H29" s="12">
        <v>0</v>
      </c>
      <c r="I29" s="12">
        <v>0</v>
      </c>
      <c r="J29" s="12">
        <v>0</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12">
        <v>0</v>
      </c>
      <c r="AB29" s="12">
        <f t="shared" si="6"/>
        <v>0</v>
      </c>
    </row>
    <row r="30" spans="1:28" ht="15.75">
      <c r="A30" s="13" t="s">
        <v>37</v>
      </c>
      <c r="B30" s="12">
        <f>-220*0.8</f>
        <v>-176</v>
      </c>
      <c r="C30" s="12">
        <v>0</v>
      </c>
      <c r="D30" s="12">
        <v>0</v>
      </c>
      <c r="E30" s="12">
        <f>-948*0.8</f>
        <v>-758.4000000000001</v>
      </c>
      <c r="F30" s="12">
        <v>0</v>
      </c>
      <c r="G30" s="12">
        <v>0</v>
      </c>
      <c r="H30" s="12">
        <v>0</v>
      </c>
      <c r="I30" s="12">
        <v>0</v>
      </c>
      <c r="J30" s="12">
        <v>0</v>
      </c>
      <c r="K30" s="12">
        <v>0</v>
      </c>
      <c r="L30" s="12">
        <v>0</v>
      </c>
      <c r="M30" s="12">
        <v>0</v>
      </c>
      <c r="N30" s="12">
        <f>-220*0.8</f>
        <v>-176</v>
      </c>
      <c r="O30" s="12">
        <v>0</v>
      </c>
      <c r="P30" s="12">
        <v>0</v>
      </c>
      <c r="Q30" s="12">
        <f>-948*0.8</f>
        <v>-758.4000000000001</v>
      </c>
      <c r="R30" s="12">
        <v>0</v>
      </c>
      <c r="S30" s="12">
        <v>0</v>
      </c>
      <c r="T30" s="12">
        <v>0</v>
      </c>
      <c r="U30" s="12">
        <v>0</v>
      </c>
      <c r="V30" s="12">
        <v>0</v>
      </c>
      <c r="W30" s="12">
        <v>0</v>
      </c>
      <c r="X30" s="12">
        <v>0</v>
      </c>
      <c r="Y30" s="12">
        <v>0</v>
      </c>
      <c r="Z30" s="12">
        <f>-220*0.8</f>
        <v>-176</v>
      </c>
      <c r="AA30" s="12">
        <v>0</v>
      </c>
      <c r="AB30" s="12">
        <f t="shared" si="6"/>
        <v>-2044.8000000000002</v>
      </c>
    </row>
    <row r="31" spans="1:28" ht="47.25">
      <c r="A31" s="24" t="s">
        <v>65</v>
      </c>
      <c r="B31" s="12">
        <v>0</v>
      </c>
      <c r="C31" s="12">
        <v>0</v>
      </c>
      <c r="D31" s="12">
        <v>0</v>
      </c>
      <c r="E31" s="12">
        <v>0</v>
      </c>
      <c r="F31" s="12">
        <v>0</v>
      </c>
      <c r="G31" s="12">
        <v>0</v>
      </c>
      <c r="H31" s="12">
        <v>0</v>
      </c>
      <c r="I31" s="12">
        <f>-2500*0.8</f>
        <v>-2000</v>
      </c>
      <c r="J31" s="12">
        <v>0</v>
      </c>
      <c r="K31" s="12">
        <v>0</v>
      </c>
      <c r="L31" s="12">
        <v>0</v>
      </c>
      <c r="M31" s="12">
        <v>0</v>
      </c>
      <c r="N31" s="12">
        <f>-4*(B43+B44+B45)</f>
        <v>-1880</v>
      </c>
      <c r="O31" s="12">
        <f>-4*(B43+B44+B45)</f>
        <v>-1880</v>
      </c>
      <c r="P31" s="12">
        <f>-4*(B43+B44+B45)</f>
        <v>-1880</v>
      </c>
      <c r="Q31" s="12">
        <f>-4*(B43+B44+B45)</f>
        <v>-1880</v>
      </c>
      <c r="R31" s="12">
        <f>-4*(B43+B44+B45)</f>
        <v>-1880</v>
      </c>
      <c r="S31" s="12">
        <f>-4*(B43+B44+B45)</f>
        <v>-1880</v>
      </c>
      <c r="T31" s="12">
        <f>-4*(B43+B44+B45)</f>
        <v>-1880</v>
      </c>
      <c r="U31" s="12">
        <f>-2500*0.8-4*(B43+B44+B45)</f>
        <v>-3880</v>
      </c>
      <c r="V31" s="12">
        <f>-4*(B43+B44+B45)</f>
        <v>-1880</v>
      </c>
      <c r="W31" s="12">
        <f>-4*(B43+B44+B45)</f>
        <v>-1880</v>
      </c>
      <c r="X31" s="12">
        <f>-4*(B43+B44+B45)</f>
        <v>-1880</v>
      </c>
      <c r="Y31" s="12">
        <f>-4*(B43+B44+B45)</f>
        <v>-1880</v>
      </c>
      <c r="Z31" s="12">
        <f>-4*(B43+B44+B45)</f>
        <v>-1880</v>
      </c>
      <c r="AA31" s="12">
        <f>-4*(B43+B44+B45)</f>
        <v>-1880</v>
      </c>
      <c r="AB31" s="12">
        <f t="shared" si="6"/>
        <v>-30320</v>
      </c>
    </row>
    <row r="32" spans="1:28" ht="15.75">
      <c r="A32" s="13" t="s">
        <v>28</v>
      </c>
      <c r="B32" s="12">
        <v>0</v>
      </c>
      <c r="C32" s="12">
        <v>-1200</v>
      </c>
      <c r="D32" s="12">
        <v>0</v>
      </c>
      <c r="E32" s="12">
        <v>0</v>
      </c>
      <c r="F32" s="12">
        <f>-1500*0.8</f>
        <v>-1200</v>
      </c>
      <c r="G32" s="12">
        <v>0</v>
      </c>
      <c r="H32" s="12">
        <v>0</v>
      </c>
      <c r="I32" s="12">
        <v>0</v>
      </c>
      <c r="J32" s="12">
        <v>0</v>
      </c>
      <c r="K32" s="12">
        <v>0</v>
      </c>
      <c r="L32" s="12">
        <v>0</v>
      </c>
      <c r="M32" s="12">
        <v>0</v>
      </c>
      <c r="N32" s="12">
        <v>0</v>
      </c>
      <c r="O32" s="12">
        <v>0</v>
      </c>
      <c r="P32" s="12">
        <v>0</v>
      </c>
      <c r="Q32" s="12">
        <v>0</v>
      </c>
      <c r="R32" s="12">
        <f>-1500*0.8</f>
        <v>-1200</v>
      </c>
      <c r="S32" s="12">
        <v>0</v>
      </c>
      <c r="T32" s="12">
        <v>0</v>
      </c>
      <c r="U32" s="12">
        <v>0</v>
      </c>
      <c r="V32" s="12">
        <v>0</v>
      </c>
      <c r="W32" s="12">
        <v>0</v>
      </c>
      <c r="X32" s="12">
        <v>0</v>
      </c>
      <c r="Y32" s="12">
        <v>0</v>
      </c>
      <c r="Z32" s="12">
        <v>0</v>
      </c>
      <c r="AA32" s="12">
        <v>0</v>
      </c>
      <c r="AB32" s="12">
        <f t="shared" si="6"/>
        <v>-3600</v>
      </c>
    </row>
    <row r="33" spans="1:28" ht="15.75">
      <c r="A33" s="13" t="s">
        <v>29</v>
      </c>
      <c r="B33" s="12">
        <v>0</v>
      </c>
      <c r="C33" s="12">
        <v>0</v>
      </c>
      <c r="D33" s="12">
        <v>0</v>
      </c>
      <c r="E33" s="12">
        <v>0</v>
      </c>
      <c r="F33" s="12">
        <v>0</v>
      </c>
      <c r="G33" s="12">
        <v>0</v>
      </c>
      <c r="H33" s="12">
        <v>0</v>
      </c>
      <c r="I33" s="12">
        <v>0</v>
      </c>
      <c r="J33" s="12">
        <v>0</v>
      </c>
      <c r="K33" s="12">
        <v>0</v>
      </c>
      <c r="L33" s="12">
        <v>0</v>
      </c>
      <c r="M33" s="12">
        <v>0</v>
      </c>
      <c r="N33" s="12">
        <v>0</v>
      </c>
      <c r="O33" s="12">
        <v>0</v>
      </c>
      <c r="P33" s="12">
        <v>0</v>
      </c>
      <c r="Q33" s="12">
        <v>0</v>
      </c>
      <c r="R33" s="12">
        <v>0</v>
      </c>
      <c r="S33" s="12">
        <v>0</v>
      </c>
      <c r="T33" s="12">
        <v>0</v>
      </c>
      <c r="U33" s="12">
        <v>0</v>
      </c>
      <c r="V33" s="12">
        <v>0</v>
      </c>
      <c r="W33" s="12">
        <v>0</v>
      </c>
      <c r="X33" s="12">
        <v>0</v>
      </c>
      <c r="Y33" s="12">
        <v>0</v>
      </c>
      <c r="Z33" s="12">
        <v>0</v>
      </c>
      <c r="AA33" s="12">
        <v>0</v>
      </c>
      <c r="AB33" s="12">
        <f t="shared" si="6"/>
        <v>0</v>
      </c>
    </row>
    <row r="34" spans="1:28" ht="15.75">
      <c r="A34" s="13" t="s">
        <v>66</v>
      </c>
      <c r="B34" s="12">
        <v>0</v>
      </c>
      <c r="C34" s="12">
        <v>0</v>
      </c>
      <c r="D34" s="12">
        <v>0</v>
      </c>
      <c r="E34" s="12">
        <v>0</v>
      </c>
      <c r="F34" s="12">
        <f>-7.2*B43</f>
        <v>-2880</v>
      </c>
      <c r="G34" s="12"/>
      <c r="H34" s="12"/>
      <c r="I34" s="12"/>
      <c r="J34" s="12">
        <f>-7.2*B43</f>
        <v>-2880</v>
      </c>
      <c r="K34" s="12"/>
      <c r="L34" s="12"/>
      <c r="M34" s="12">
        <f>-7.2*B44</f>
        <v>-360</v>
      </c>
      <c r="N34" s="12">
        <f>-7.2*B43</f>
        <v>-2880</v>
      </c>
      <c r="O34" s="12"/>
      <c r="P34" s="12">
        <f>-7.2*B45</f>
        <v>-144</v>
      </c>
      <c r="Q34" s="12">
        <f>-7.2*(B43+B44+B45)</f>
        <v>-3384</v>
      </c>
      <c r="R34" s="12"/>
      <c r="S34" s="12">
        <f>-7.2*(B43+B44+B45)/4</f>
        <v>-846</v>
      </c>
      <c r="T34" s="12">
        <f>-7.2*(B43+B44+B45)/4</f>
        <v>-846</v>
      </c>
      <c r="U34" s="12">
        <f>-7.2*(B43+B44+B45)/2</f>
        <v>-1692</v>
      </c>
      <c r="V34" s="12">
        <f>-7.2*(B43+B44+B45)</f>
        <v>-3384</v>
      </c>
      <c r="W34" s="12"/>
      <c r="X34" s="12"/>
      <c r="Y34" s="12"/>
      <c r="Z34" s="12">
        <f>-7.2*(B43+B44+B45)</f>
        <v>-3384</v>
      </c>
      <c r="AA34" s="12"/>
      <c r="AB34" s="12"/>
    </row>
    <row r="35" spans="1:28" ht="15.75">
      <c r="A35" s="13" t="s">
        <v>41</v>
      </c>
      <c r="B35" s="12">
        <v>0</v>
      </c>
      <c r="C35" s="12">
        <f>-5625*0.8</f>
        <v>-4500</v>
      </c>
      <c r="D35" s="12">
        <v>-24000</v>
      </c>
      <c r="E35" s="12">
        <v>0</v>
      </c>
      <c r="F35" s="12">
        <v>0</v>
      </c>
      <c r="G35" s="12">
        <v>0</v>
      </c>
      <c r="H35" s="12">
        <v>0</v>
      </c>
      <c r="I35" s="12">
        <v>0</v>
      </c>
      <c r="J35" s="12">
        <v>0</v>
      </c>
      <c r="K35" s="12">
        <v>0</v>
      </c>
      <c r="L35" s="12">
        <v>0</v>
      </c>
      <c r="M35" s="12">
        <v>0</v>
      </c>
      <c r="N35" s="12">
        <v>0</v>
      </c>
      <c r="O35" s="12">
        <f>-5625*0.8</f>
        <v>-4500</v>
      </c>
      <c r="P35" s="12">
        <v>0</v>
      </c>
      <c r="Q35" s="12">
        <v>0</v>
      </c>
      <c r="R35" s="12">
        <v>0</v>
      </c>
      <c r="S35" s="12">
        <v>0</v>
      </c>
      <c r="T35" s="12">
        <v>0</v>
      </c>
      <c r="U35" s="12">
        <v>0</v>
      </c>
      <c r="V35" s="12">
        <v>0</v>
      </c>
      <c r="W35" s="12">
        <v>0</v>
      </c>
      <c r="X35" s="12">
        <v>0</v>
      </c>
      <c r="Y35" s="12">
        <v>0</v>
      </c>
      <c r="Z35" s="12">
        <v>0</v>
      </c>
      <c r="AA35" s="12">
        <f>-5625*0.8</f>
        <v>-4500</v>
      </c>
      <c r="AB35" s="12">
        <f t="shared" si="6"/>
        <v>-37500</v>
      </c>
    </row>
    <row r="36" spans="1:28" ht="15.75">
      <c r="A36" s="13" t="s">
        <v>30</v>
      </c>
      <c r="B36" s="12">
        <v>0</v>
      </c>
      <c r="C36" s="12">
        <v>0</v>
      </c>
      <c r="D36" s="12">
        <v>0</v>
      </c>
      <c r="E36" s="12">
        <v>0</v>
      </c>
      <c r="F36" s="12">
        <v>0</v>
      </c>
      <c r="G36" s="12">
        <v>0</v>
      </c>
      <c r="H36" s="12">
        <v>0</v>
      </c>
      <c r="I36" s="12">
        <v>0</v>
      </c>
      <c r="J36" s="12">
        <v>0</v>
      </c>
      <c r="K36" s="12">
        <v>0</v>
      </c>
      <c r="L36" s="12">
        <v>0</v>
      </c>
      <c r="M36" s="12">
        <v>0</v>
      </c>
      <c r="N36" s="12">
        <v>0</v>
      </c>
      <c r="O36" s="12">
        <v>0</v>
      </c>
      <c r="P36" s="12">
        <v>0</v>
      </c>
      <c r="Q36" s="12">
        <v>0</v>
      </c>
      <c r="R36" s="12">
        <v>0</v>
      </c>
      <c r="S36" s="12">
        <v>0</v>
      </c>
      <c r="T36" s="12">
        <v>0</v>
      </c>
      <c r="U36" s="12">
        <v>0</v>
      </c>
      <c r="V36" s="12">
        <v>0</v>
      </c>
      <c r="W36" s="12">
        <v>0</v>
      </c>
      <c r="X36" s="12">
        <v>0</v>
      </c>
      <c r="Y36" s="12">
        <v>0</v>
      </c>
      <c r="Z36" s="12">
        <v>0</v>
      </c>
      <c r="AA36" s="12">
        <v>0</v>
      </c>
      <c r="AB36" s="12">
        <f t="shared" si="6"/>
        <v>0</v>
      </c>
    </row>
    <row r="37" spans="1:28" ht="15.75">
      <c r="A37" s="13" t="s">
        <v>38</v>
      </c>
      <c r="B37" s="12">
        <v>-250</v>
      </c>
      <c r="C37" s="12">
        <v>-250</v>
      </c>
      <c r="D37" s="12">
        <v>-250</v>
      </c>
      <c r="E37" s="12">
        <v>-250</v>
      </c>
      <c r="F37" s="12">
        <f>-350-200</f>
        <v>-550</v>
      </c>
      <c r="G37" s="12">
        <f aca="true" t="shared" si="7" ref="G37:AA37">-350-200</f>
        <v>-550</v>
      </c>
      <c r="H37" s="12">
        <f t="shared" si="7"/>
        <v>-550</v>
      </c>
      <c r="I37" s="12">
        <f t="shared" si="7"/>
        <v>-550</v>
      </c>
      <c r="J37" s="12">
        <f t="shared" si="7"/>
        <v>-550</v>
      </c>
      <c r="K37" s="12">
        <f t="shared" si="7"/>
        <v>-550</v>
      </c>
      <c r="L37" s="12">
        <f t="shared" si="7"/>
        <v>-550</v>
      </c>
      <c r="M37" s="12">
        <f t="shared" si="7"/>
        <v>-550</v>
      </c>
      <c r="N37" s="12">
        <f t="shared" si="7"/>
        <v>-550</v>
      </c>
      <c r="O37" s="12">
        <f t="shared" si="7"/>
        <v>-550</v>
      </c>
      <c r="P37" s="12">
        <f t="shared" si="7"/>
        <v>-550</v>
      </c>
      <c r="Q37" s="12">
        <f t="shared" si="7"/>
        <v>-550</v>
      </c>
      <c r="R37" s="12">
        <f t="shared" si="7"/>
        <v>-550</v>
      </c>
      <c r="S37" s="12">
        <f t="shared" si="7"/>
        <v>-550</v>
      </c>
      <c r="T37" s="12">
        <f t="shared" si="7"/>
        <v>-550</v>
      </c>
      <c r="U37" s="12">
        <f t="shared" si="7"/>
        <v>-550</v>
      </c>
      <c r="V37" s="12">
        <f t="shared" si="7"/>
        <v>-550</v>
      </c>
      <c r="W37" s="12">
        <f t="shared" si="7"/>
        <v>-550</v>
      </c>
      <c r="X37" s="12">
        <f t="shared" si="7"/>
        <v>-550</v>
      </c>
      <c r="Y37" s="12">
        <f t="shared" si="7"/>
        <v>-550</v>
      </c>
      <c r="Z37" s="12">
        <f t="shared" si="7"/>
        <v>-550</v>
      </c>
      <c r="AA37" s="12">
        <f t="shared" si="7"/>
        <v>-550</v>
      </c>
      <c r="AB37" s="12">
        <f t="shared" si="6"/>
        <v>-13100</v>
      </c>
    </row>
    <row r="38" spans="1:28" ht="15.75">
      <c r="A38" s="13" t="s">
        <v>39</v>
      </c>
      <c r="B38" s="12">
        <f aca="true" t="shared" si="8" ref="B38:AA38">SUM(B17:B35)*0.25</f>
        <v>-244</v>
      </c>
      <c r="C38" s="12">
        <f t="shared" si="8"/>
        <v>-7625</v>
      </c>
      <c r="D38" s="12">
        <f t="shared" si="8"/>
        <v>-6571.2</v>
      </c>
      <c r="E38" s="12">
        <f t="shared" si="8"/>
        <v>-1000.8000000000001</v>
      </c>
      <c r="F38" s="12">
        <f t="shared" si="8"/>
        <v>-1340</v>
      </c>
      <c r="G38" s="12">
        <f t="shared" si="8"/>
        <v>-78365</v>
      </c>
      <c r="H38" s="12">
        <f t="shared" si="8"/>
        <v>-58925</v>
      </c>
      <c r="I38" s="12">
        <f t="shared" si="8"/>
        <v>-940</v>
      </c>
      <c r="J38" s="12">
        <f t="shared" si="8"/>
        <v>-229670</v>
      </c>
      <c r="K38" s="12">
        <f t="shared" si="8"/>
        <v>-229190</v>
      </c>
      <c r="L38" s="12">
        <f t="shared" si="8"/>
        <v>-229075</v>
      </c>
      <c r="M38" s="12">
        <f t="shared" si="8"/>
        <v>-229405</v>
      </c>
      <c r="N38" s="12">
        <f t="shared" si="8"/>
        <v>-230259</v>
      </c>
      <c r="O38" s="12">
        <f t="shared" si="8"/>
        <v>-230786.66666666666</v>
      </c>
      <c r="P38" s="12">
        <f t="shared" si="8"/>
        <v>-229531</v>
      </c>
      <c r="Q38" s="12">
        <f t="shared" si="8"/>
        <v>-231458.46666666667</v>
      </c>
      <c r="R38" s="12">
        <f t="shared" si="8"/>
        <v>-229945</v>
      </c>
      <c r="S38" s="12">
        <f t="shared" si="8"/>
        <v>-230106.5</v>
      </c>
      <c r="T38" s="12">
        <f t="shared" si="8"/>
        <v>-229856.5</v>
      </c>
      <c r="U38" s="12">
        <f t="shared" si="8"/>
        <v>-230734.66666666666</v>
      </c>
      <c r="V38" s="12">
        <f t="shared" si="8"/>
        <v>-36741</v>
      </c>
      <c r="W38" s="12">
        <f t="shared" si="8"/>
        <v>-1061.6666666666665</v>
      </c>
      <c r="X38" s="12">
        <f t="shared" si="8"/>
        <v>-895</v>
      </c>
      <c r="Y38" s="12">
        <f t="shared" si="8"/>
        <v>-1061.6666666666665</v>
      </c>
      <c r="Z38" s="12">
        <f t="shared" si="8"/>
        <v>-1785</v>
      </c>
      <c r="AA38" s="12">
        <f t="shared" si="8"/>
        <v>-2186.6666666666665</v>
      </c>
      <c r="AB38" s="12">
        <f t="shared" si="6"/>
        <v>-2958759.7999999993</v>
      </c>
    </row>
    <row r="39" spans="1:28" ht="16.5" thickBot="1">
      <c r="A39" s="13" t="s">
        <v>43</v>
      </c>
      <c r="B39" s="12">
        <v>0</v>
      </c>
      <c r="C39" s="12">
        <v>0</v>
      </c>
      <c r="D39" s="12">
        <v>0</v>
      </c>
      <c r="E39" s="12">
        <v>0</v>
      </c>
      <c r="F39" s="12">
        <v>0</v>
      </c>
      <c r="G39" s="12">
        <v>0</v>
      </c>
      <c r="H39" s="12">
        <v>0</v>
      </c>
      <c r="I39" s="12">
        <f aca="true" t="shared" si="9" ref="I39:AA39">IF(G13+G38&gt;0,-(G13+G38),0)</f>
        <v>0</v>
      </c>
      <c r="J39" s="12">
        <f t="shared" si="9"/>
        <v>0</v>
      </c>
      <c r="K39" s="12">
        <f t="shared" si="9"/>
        <v>0</v>
      </c>
      <c r="L39" s="12">
        <f t="shared" si="9"/>
        <v>-477330</v>
      </c>
      <c r="M39" s="12">
        <f t="shared" si="9"/>
        <v>0</v>
      </c>
      <c r="N39" s="12">
        <f t="shared" si="9"/>
        <v>0</v>
      </c>
      <c r="O39" s="12">
        <f t="shared" si="9"/>
        <v>0</v>
      </c>
      <c r="P39" s="12">
        <f t="shared" si="9"/>
        <v>0</v>
      </c>
      <c r="Q39" s="12">
        <f t="shared" si="9"/>
        <v>0</v>
      </c>
      <c r="R39" s="12">
        <f t="shared" si="9"/>
        <v>0</v>
      </c>
      <c r="S39" s="12">
        <f t="shared" si="9"/>
        <v>0</v>
      </c>
      <c r="T39" s="12">
        <f t="shared" si="9"/>
        <v>0</v>
      </c>
      <c r="U39" s="12">
        <f t="shared" si="9"/>
        <v>0</v>
      </c>
      <c r="V39" s="12">
        <f t="shared" si="9"/>
        <v>0</v>
      </c>
      <c r="W39" s="12">
        <f t="shared" si="9"/>
        <v>0</v>
      </c>
      <c r="X39" s="12">
        <f t="shared" si="9"/>
        <v>-414579</v>
      </c>
      <c r="Y39" s="12">
        <f t="shared" si="9"/>
        <v>0</v>
      </c>
      <c r="Z39" s="12">
        <f t="shared" si="9"/>
        <v>0</v>
      </c>
      <c r="AA39" s="12">
        <f t="shared" si="9"/>
        <v>0</v>
      </c>
      <c r="AB39" s="12">
        <f t="shared" si="6"/>
        <v>-891909</v>
      </c>
    </row>
    <row r="40" spans="1:28" s="20" customFormat="1" ht="15.75" thickBot="1">
      <c r="A40" s="18" t="s">
        <v>31</v>
      </c>
      <c r="B40" s="19">
        <f aca="true" t="shared" si="10" ref="B40:AA40">SUM(B17:B39)</f>
        <v>-1470</v>
      </c>
      <c r="C40" s="19">
        <f t="shared" si="10"/>
        <v>-38375</v>
      </c>
      <c r="D40" s="19">
        <f t="shared" si="10"/>
        <v>-33106</v>
      </c>
      <c r="E40" s="19">
        <f t="shared" si="10"/>
        <v>-5254.000000000001</v>
      </c>
      <c r="F40" s="19">
        <f t="shared" si="10"/>
        <v>-7250</v>
      </c>
      <c r="G40" s="19">
        <f t="shared" si="10"/>
        <v>-392375</v>
      </c>
      <c r="H40" s="19">
        <f t="shared" si="10"/>
        <v>-295175</v>
      </c>
      <c r="I40" s="19">
        <f t="shared" si="10"/>
        <v>-5250</v>
      </c>
      <c r="J40" s="19">
        <f t="shared" si="10"/>
        <v>-1148900</v>
      </c>
      <c r="K40" s="19">
        <f t="shared" si="10"/>
        <v>-1146500</v>
      </c>
      <c r="L40" s="19">
        <f t="shared" si="10"/>
        <v>-1623255</v>
      </c>
      <c r="M40" s="19">
        <f t="shared" si="10"/>
        <v>-1147575</v>
      </c>
      <c r="N40" s="19">
        <f t="shared" si="10"/>
        <v>-1151845</v>
      </c>
      <c r="O40" s="19">
        <f t="shared" si="10"/>
        <v>-1154483.3333333333</v>
      </c>
      <c r="P40" s="19">
        <f t="shared" si="10"/>
        <v>-1148205</v>
      </c>
      <c r="Q40" s="19">
        <f t="shared" si="10"/>
        <v>-1157842.3333333335</v>
      </c>
      <c r="R40" s="19">
        <f t="shared" si="10"/>
        <v>-1150275</v>
      </c>
      <c r="S40" s="19">
        <f t="shared" si="10"/>
        <v>-1151082.5</v>
      </c>
      <c r="T40" s="19">
        <f t="shared" si="10"/>
        <v>-1149832.5</v>
      </c>
      <c r="U40" s="19">
        <f t="shared" si="10"/>
        <v>-1154223.3333333333</v>
      </c>
      <c r="V40" s="19">
        <f t="shared" si="10"/>
        <v>-184255</v>
      </c>
      <c r="W40" s="19">
        <f t="shared" si="10"/>
        <v>-5858.333333333332</v>
      </c>
      <c r="X40" s="19">
        <f t="shared" si="10"/>
        <v>-419604</v>
      </c>
      <c r="Y40" s="19">
        <f t="shared" si="10"/>
        <v>-5858.333333333332</v>
      </c>
      <c r="Z40" s="19">
        <f t="shared" si="10"/>
        <v>-9475</v>
      </c>
      <c r="AA40" s="19">
        <f t="shared" si="10"/>
        <v>-11483.333333333332</v>
      </c>
      <c r="AB40" s="19"/>
    </row>
    <row r="41" spans="1:28" s="20" customFormat="1" ht="15">
      <c r="A41" s="18" t="s">
        <v>33</v>
      </c>
      <c r="B41" s="19">
        <f>B4+B15+B40</f>
        <v>-1470</v>
      </c>
      <c r="C41" s="19">
        <f>C4+C15+C40</f>
        <v>-36905</v>
      </c>
      <c r="D41" s="19">
        <f>D4+D15+D40</f>
        <v>32495</v>
      </c>
      <c r="E41" s="19">
        <f aca="true" t="shared" si="11" ref="E41:AA41">D41+E15+E40</f>
        <v>28241</v>
      </c>
      <c r="F41" s="19">
        <f t="shared" si="11"/>
        <v>280991</v>
      </c>
      <c r="G41" s="19">
        <f t="shared" si="11"/>
        <v>148616</v>
      </c>
      <c r="H41" s="19">
        <f t="shared" si="11"/>
        <v>175941</v>
      </c>
      <c r="I41" s="19">
        <f t="shared" si="11"/>
        <v>379056</v>
      </c>
      <c r="J41" s="19">
        <f t="shared" si="11"/>
        <v>4239681</v>
      </c>
      <c r="K41" s="19">
        <f t="shared" si="11"/>
        <v>4394121</v>
      </c>
      <c r="L41" s="19">
        <f t="shared" si="11"/>
        <v>2770866</v>
      </c>
      <c r="M41" s="19">
        <f t="shared" si="11"/>
        <v>2302481</v>
      </c>
      <c r="N41" s="19">
        <f t="shared" si="11"/>
        <v>2402211</v>
      </c>
      <c r="O41" s="19">
        <f t="shared" si="11"/>
        <v>2749632.666666667</v>
      </c>
      <c r="P41" s="19">
        <f t="shared" si="11"/>
        <v>2111686.666666667</v>
      </c>
      <c r="Q41" s="19">
        <f t="shared" si="11"/>
        <v>1861631</v>
      </c>
      <c r="R41" s="19">
        <f t="shared" si="11"/>
        <v>1675887</v>
      </c>
      <c r="S41" s="19">
        <f t="shared" si="11"/>
        <v>1050012.9666666668</v>
      </c>
      <c r="T41" s="19">
        <f t="shared" si="11"/>
        <v>365125.4666666668</v>
      </c>
      <c r="U41" s="19">
        <f t="shared" si="11"/>
        <v>-147741.36666666646</v>
      </c>
      <c r="V41" s="19">
        <f t="shared" si="11"/>
        <v>2154460.133333334</v>
      </c>
      <c r="W41" s="19">
        <f t="shared" si="11"/>
        <v>2379336.466666667</v>
      </c>
      <c r="X41" s="19">
        <f t="shared" si="11"/>
        <v>1959732.4666666668</v>
      </c>
      <c r="Y41" s="19">
        <f t="shared" si="11"/>
        <v>1954935.8000000003</v>
      </c>
      <c r="Z41" s="19">
        <f t="shared" si="11"/>
        <v>2077955.8000000003</v>
      </c>
      <c r="AA41" s="19">
        <f t="shared" si="11"/>
        <v>2067534.1333333338</v>
      </c>
      <c r="AB41" s="19"/>
    </row>
    <row r="42" ht="12">
      <c r="B42" s="2" t="s">
        <v>68</v>
      </c>
    </row>
    <row r="43" spans="1:2" ht="15">
      <c r="A43" s="13" t="s">
        <v>52</v>
      </c>
      <c r="B43" s="25">
        <v>400</v>
      </c>
    </row>
    <row r="44" spans="1:2" ht="15">
      <c r="A44" s="13" t="s">
        <v>53</v>
      </c>
      <c r="B44" s="25">
        <v>50</v>
      </c>
    </row>
    <row r="45" spans="1:2" ht="15">
      <c r="A45" s="13" t="s">
        <v>54</v>
      </c>
      <c r="B45" s="25">
        <v>20</v>
      </c>
    </row>
    <row r="46" spans="1:2" ht="15">
      <c r="A46" s="13" t="s">
        <v>64</v>
      </c>
      <c r="B46" s="25">
        <v>70</v>
      </c>
    </row>
    <row r="47" spans="1:2" ht="15">
      <c r="A47" s="13" t="s">
        <v>55</v>
      </c>
      <c r="B47" s="25">
        <v>2500</v>
      </c>
    </row>
    <row r="48" spans="1:2" ht="15">
      <c r="A48" s="13" t="s">
        <v>57</v>
      </c>
      <c r="B48" s="25">
        <v>6500</v>
      </c>
    </row>
    <row r="49" spans="1:2" ht="15">
      <c r="A49" s="13" t="s">
        <v>44</v>
      </c>
      <c r="B49" s="25">
        <v>5000</v>
      </c>
    </row>
    <row r="50" spans="1:2" ht="15">
      <c r="A50" s="13" t="s">
        <v>58</v>
      </c>
      <c r="B50" s="25">
        <v>3000</v>
      </c>
    </row>
    <row r="51" spans="1:2" ht="15">
      <c r="A51" s="13" t="s">
        <v>59</v>
      </c>
      <c r="B51" s="25">
        <v>2000</v>
      </c>
    </row>
    <row r="52" spans="1:2" ht="30">
      <c r="A52" s="24" t="s">
        <v>60</v>
      </c>
      <c r="B52" s="26">
        <f>SUM(B47:B50)+B51*1.25</f>
        <v>19500</v>
      </c>
    </row>
    <row r="53" spans="1:2" ht="15">
      <c r="A53" s="13" t="s">
        <v>62</v>
      </c>
      <c r="B53" s="26">
        <f>(AB6+AB8*1.25)/SUM(B43:B45)</f>
        <v>19500</v>
      </c>
    </row>
    <row r="54" spans="1:3" ht="15">
      <c r="A54" s="13" t="s">
        <v>85</v>
      </c>
      <c r="B54" s="27">
        <f>(AA41-850000)/SUM(B43:B45)</f>
        <v>2590.4981560283695</v>
      </c>
      <c r="C54" s="2" t="s">
        <v>86</v>
      </c>
    </row>
    <row r="55" spans="1:2" ht="30">
      <c r="A55" s="24" t="s">
        <v>61</v>
      </c>
      <c r="B55" s="25">
        <f>B53-B54</f>
        <v>16909.50184397163</v>
      </c>
    </row>
  </sheetData>
  <sheetProtection/>
  <printOptions gridLines="1"/>
  <pageMargins left="0.7500000000000001" right="0.7500000000000001" top="1" bottom="0.21999999999999997" header="0.5" footer="0.10999999999999999"/>
  <pageSetup blackAndWhite="1" fitToHeight="0" fitToWidth="2" orientation="landscape" paperSize="9" scale="62"/>
  <headerFooter alignWithMargins="0">
    <oddHeader>&amp;L&amp;"Times New Roman,Normal"&amp;12&amp;K000000Länghem landsbygd fiber ek. för.
&amp;"Times New Roman,Fet"&amp;14Likviditetsbudget 2015/2016&amp;C&amp;"Times New Roman,Normal"&amp;12&amp;K000000Utskriven &amp;D&amp;R&amp;"Times New Roman,Normal"&amp;12&amp;K000000Sid: &amp;P(&amp;N)</oddHeader>
  </headerFooter>
  <rowBreaks count="1" manualBreakCount="1">
    <brk id="40" max="255"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C55"/>
  <sheetViews>
    <sheetView workbookViewId="0" topLeftCell="A1">
      <pane xSplit="1" ySplit="3" topLeftCell="B14" activePane="bottomRight" state="frozen"/>
      <selection pane="topLeft" activeCell="A1" sqref="A1"/>
      <selection pane="topRight" activeCell="B1" sqref="B1"/>
      <selection pane="bottomLeft" activeCell="A4" sqref="A4"/>
      <selection pane="bottomRight" activeCell="B55" sqref="B55"/>
    </sheetView>
  </sheetViews>
  <sheetFormatPr defaultColWidth="8.8515625" defaultRowHeight="12.75"/>
  <cols>
    <col min="1" max="1" width="24.28125" style="21" customWidth="1"/>
    <col min="2" max="2" width="13.00390625" style="2" customWidth="1"/>
    <col min="3" max="3" width="9.421875" style="2" customWidth="1"/>
    <col min="4" max="4" width="10.140625" style="2" customWidth="1"/>
    <col min="5" max="5" width="9.8515625" style="2" bestFit="1" customWidth="1"/>
    <col min="6" max="6" width="10.421875" style="2" customWidth="1"/>
    <col min="7" max="7" width="11.28125" style="2" bestFit="1" customWidth="1"/>
    <col min="8" max="8" width="12.7109375" style="2" customWidth="1"/>
    <col min="9" max="9" width="12.421875" style="2" customWidth="1"/>
    <col min="10" max="10" width="13.00390625" style="2" customWidth="1"/>
    <col min="11" max="12" width="12.421875" style="2" bestFit="1" customWidth="1"/>
    <col min="13" max="13" width="12.7109375" style="2" customWidth="1"/>
    <col min="14" max="14" width="12.28125" style="2" customWidth="1"/>
    <col min="15" max="15" width="12.421875" style="2" customWidth="1"/>
    <col min="16" max="16" width="12.28125" style="2" customWidth="1"/>
    <col min="17" max="18" width="12.140625" style="2" customWidth="1"/>
    <col min="19" max="19" width="12.8515625" style="2" customWidth="1"/>
    <col min="20" max="20" width="12.7109375" style="2" customWidth="1"/>
    <col min="21" max="21" width="12.421875" style="2" customWidth="1"/>
    <col min="22" max="22" width="14.421875" style="2" customWidth="1"/>
    <col min="23" max="23" width="12.7109375" style="2" bestFit="1" customWidth="1"/>
    <col min="24" max="24" width="12.421875" style="2" bestFit="1" customWidth="1"/>
    <col min="25" max="25" width="12.7109375" style="2" customWidth="1"/>
    <col min="26" max="26" width="12.28125" style="2" customWidth="1"/>
    <col min="27" max="27" width="12.421875" style="2" customWidth="1"/>
    <col min="28" max="28" width="13.140625" style="2" customWidth="1"/>
    <col min="29" max="29" width="20.7109375" style="2" customWidth="1"/>
    <col min="30" max="16384" width="8.8515625" style="2" customWidth="1"/>
  </cols>
  <sheetData>
    <row r="1" spans="1:26" s="28" customFormat="1" ht="13.5" customHeight="1">
      <c r="A1" s="30"/>
      <c r="B1" s="31">
        <v>2015</v>
      </c>
      <c r="G1" s="29"/>
      <c r="H1" s="32"/>
      <c r="N1" s="32">
        <v>2016</v>
      </c>
      <c r="S1" s="29"/>
      <c r="T1" s="32"/>
      <c r="Z1" s="32">
        <v>2017</v>
      </c>
    </row>
    <row r="2" spans="1:28" ht="18.75">
      <c r="A2" s="22"/>
      <c r="B2" s="1"/>
      <c r="C2" s="1"/>
      <c r="D2" s="1"/>
      <c r="F2" s="1" t="s">
        <v>45</v>
      </c>
      <c r="G2" s="3"/>
      <c r="H2" s="4"/>
      <c r="J2" s="1" t="s">
        <v>50</v>
      </c>
      <c r="M2" s="23" t="s">
        <v>49</v>
      </c>
      <c r="N2" s="1" t="s">
        <v>87</v>
      </c>
      <c r="O2" s="1"/>
      <c r="P2" s="1" t="s">
        <v>51</v>
      </c>
      <c r="Q2" s="1" t="s">
        <v>88</v>
      </c>
      <c r="R2" s="1"/>
      <c r="S2" s="1" t="s">
        <v>47</v>
      </c>
      <c r="T2" s="4"/>
      <c r="V2" s="1"/>
      <c r="Z2" s="1"/>
      <c r="AA2" s="1"/>
      <c r="AB2" s="1"/>
    </row>
    <row r="3" spans="1:29" s="7" customFormat="1" ht="15.75">
      <c r="A3" s="5"/>
      <c r="B3" s="6" t="s">
        <v>0</v>
      </c>
      <c r="C3" s="6" t="s">
        <v>1</v>
      </c>
      <c r="D3" s="6" t="s">
        <v>2</v>
      </c>
      <c r="E3" s="6" t="s">
        <v>3</v>
      </c>
      <c r="F3" s="6" t="s">
        <v>4</v>
      </c>
      <c r="G3" s="6" t="s">
        <v>5</v>
      </c>
      <c r="H3" s="6" t="s">
        <v>6</v>
      </c>
      <c r="I3" s="6" t="s">
        <v>7</v>
      </c>
      <c r="J3" s="6" t="s">
        <v>8</v>
      </c>
      <c r="K3" s="6" t="s">
        <v>9</v>
      </c>
      <c r="L3" s="6" t="s">
        <v>10</v>
      </c>
      <c r="M3" s="6" t="s">
        <v>11</v>
      </c>
      <c r="N3" s="6" t="s">
        <v>0</v>
      </c>
      <c r="O3" s="6" t="s">
        <v>1</v>
      </c>
      <c r="P3" s="6" t="s">
        <v>2</v>
      </c>
      <c r="Q3" s="6" t="s">
        <v>3</v>
      </c>
      <c r="R3" s="6" t="s">
        <v>4</v>
      </c>
      <c r="S3" s="6" t="s">
        <v>5</v>
      </c>
      <c r="T3" s="6" t="s">
        <v>6</v>
      </c>
      <c r="U3" s="6" t="s">
        <v>7</v>
      </c>
      <c r="V3" s="6" t="s">
        <v>8</v>
      </c>
      <c r="W3" s="6" t="s">
        <v>9</v>
      </c>
      <c r="X3" s="6" t="s">
        <v>10</v>
      </c>
      <c r="Y3" s="6" t="s">
        <v>11</v>
      </c>
      <c r="Z3" s="6" t="s">
        <v>0</v>
      </c>
      <c r="AA3" s="6" t="s">
        <v>1</v>
      </c>
      <c r="AB3" s="6" t="s">
        <v>56</v>
      </c>
      <c r="AC3" s="6" t="s">
        <v>34</v>
      </c>
    </row>
    <row r="4" spans="1:28" ht="15.75">
      <c r="A4" s="8" t="s">
        <v>67</v>
      </c>
      <c r="B4" s="12">
        <v>0</v>
      </c>
      <c r="C4" s="12">
        <f>B4+B15-B40</f>
        <v>1470</v>
      </c>
      <c r="D4" s="12">
        <f>2402+62299</f>
        <v>64701</v>
      </c>
      <c r="E4" s="9"/>
      <c r="F4" s="9"/>
      <c r="G4" s="9"/>
      <c r="H4" s="9"/>
      <c r="I4" s="9"/>
      <c r="J4" s="9"/>
      <c r="K4" s="9"/>
      <c r="L4" s="9"/>
      <c r="M4" s="9"/>
      <c r="N4" s="9"/>
      <c r="O4" s="9"/>
      <c r="P4" s="9"/>
      <c r="Q4" s="9"/>
      <c r="R4" s="9"/>
      <c r="S4" s="9"/>
      <c r="T4" s="9"/>
      <c r="U4" s="9"/>
      <c r="V4" s="9"/>
      <c r="W4" s="9"/>
      <c r="X4" s="9"/>
      <c r="Y4" s="9"/>
      <c r="Z4" s="9"/>
      <c r="AA4" s="9"/>
      <c r="AB4" s="9"/>
    </row>
    <row r="5" spans="1:28" s="7" customFormat="1" ht="18.75">
      <c r="A5" s="10" t="s">
        <v>12</v>
      </c>
      <c r="B5" s="11"/>
      <c r="C5" s="11"/>
      <c r="D5" s="11"/>
      <c r="E5" s="11"/>
      <c r="F5" s="11"/>
      <c r="G5" s="11"/>
      <c r="H5" s="11"/>
      <c r="I5" s="11"/>
      <c r="J5" s="11"/>
      <c r="K5" s="11"/>
      <c r="L5" s="11"/>
      <c r="M5" s="11"/>
      <c r="N5" s="11"/>
      <c r="O5" s="11"/>
      <c r="P5" s="11"/>
      <c r="Q5" s="11"/>
      <c r="R5" s="11"/>
      <c r="S5" s="11"/>
      <c r="T5" s="11"/>
      <c r="U5" s="11"/>
      <c r="V5" s="11"/>
      <c r="W5" s="11"/>
      <c r="X5" s="11"/>
      <c r="Y5" s="11"/>
      <c r="Z5" s="11"/>
      <c r="AA5" s="11"/>
      <c r="AB5" s="11"/>
    </row>
    <row r="6" spans="1:28" ht="15.75">
      <c r="A6" s="13" t="s">
        <v>13</v>
      </c>
      <c r="B6" s="12">
        <v>0</v>
      </c>
      <c r="C6" s="12">
        <v>0</v>
      </c>
      <c r="D6" s="12">
        <v>0</v>
      </c>
      <c r="E6" s="12">
        <v>0</v>
      </c>
      <c r="F6" s="12">
        <f>B47*B43/4</f>
        <v>250000</v>
      </c>
      <c r="G6" s="12">
        <f>B47*B43/4</f>
        <v>250000</v>
      </c>
      <c r="H6" s="12">
        <f>B47*B43/4</f>
        <v>250000</v>
      </c>
      <c r="I6" s="12">
        <f>B47*B43/8</f>
        <v>125000</v>
      </c>
      <c r="J6" s="12">
        <f>B47*B43/8+B48*B43/2</f>
        <v>1425000</v>
      </c>
      <c r="K6" s="12">
        <f>B48*B43/2</f>
        <v>1300000</v>
      </c>
      <c r="L6" s="12">
        <v>0</v>
      </c>
      <c r="M6" s="12">
        <f>(B47+B48)*B44</f>
        <v>450000</v>
      </c>
      <c r="N6" s="12">
        <f>B49*B43/2</f>
        <v>1300000</v>
      </c>
      <c r="O6" s="12">
        <f>B49*(B43/2+B44)</f>
        <v>1625000</v>
      </c>
      <c r="P6" s="12">
        <f>(B47+B48+B49)*B45</f>
        <v>310000</v>
      </c>
      <c r="Q6" s="12">
        <f>B50*(B43/2+B44/2)</f>
        <v>1350000</v>
      </c>
      <c r="R6" s="12">
        <f>B50*(B43/2+B44/2+B45)</f>
        <v>1470000</v>
      </c>
      <c r="S6" s="12"/>
      <c r="T6" s="12"/>
      <c r="U6" s="12"/>
      <c r="V6" s="12"/>
      <c r="W6" s="12"/>
      <c r="X6" s="12">
        <v>0</v>
      </c>
      <c r="Y6" s="12">
        <v>0</v>
      </c>
      <c r="Z6" s="12">
        <v>0</v>
      </c>
      <c r="AA6" s="12">
        <v>0</v>
      </c>
      <c r="AB6" s="12">
        <f>SUM(B6:AA6)</f>
        <v>10105000</v>
      </c>
    </row>
    <row r="7" spans="1:28" ht="15.75">
      <c r="A7" s="13" t="s">
        <v>32</v>
      </c>
      <c r="B7" s="12">
        <v>0</v>
      </c>
      <c r="C7" s="12">
        <v>0</v>
      </c>
      <c r="D7" s="12">
        <f>9*100</f>
        <v>900</v>
      </c>
      <c r="E7" s="12">
        <f>10*100</f>
        <v>1000</v>
      </c>
      <c r="F7" s="12">
        <f>100*100</f>
        <v>10000</v>
      </c>
      <c r="G7" s="12">
        <f>100*100</f>
        <v>10000</v>
      </c>
      <c r="H7" s="12">
        <f>100*100</f>
        <v>10000</v>
      </c>
      <c r="I7" s="12">
        <f>50*100</f>
        <v>5000</v>
      </c>
      <c r="J7" s="12">
        <f>31*100</f>
        <v>3100</v>
      </c>
      <c r="K7" s="12"/>
      <c r="L7" s="12"/>
      <c r="M7" s="12"/>
      <c r="N7" s="12">
        <f>100*(B43+B44)/2</f>
        <v>22500</v>
      </c>
      <c r="O7" s="12">
        <f>100*(B43+B44)/2</f>
        <v>22500</v>
      </c>
      <c r="P7" s="12"/>
      <c r="Q7" s="12">
        <f>B45*100</f>
        <v>2000</v>
      </c>
      <c r="R7" s="12"/>
      <c r="S7" s="12"/>
      <c r="T7" s="12"/>
      <c r="U7" s="12"/>
      <c r="V7" s="12"/>
      <c r="W7" s="12"/>
      <c r="X7" s="12"/>
      <c r="Y7" s="12"/>
      <c r="Z7" s="12"/>
      <c r="AA7" s="12"/>
      <c r="AB7" s="12">
        <f aca="true" t="shared" si="0" ref="AB7:AB14">SUM(B7:AA7)</f>
        <v>87000</v>
      </c>
    </row>
    <row r="8" spans="1:28" ht="15.75">
      <c r="A8" s="13" t="s">
        <v>14</v>
      </c>
      <c r="B8" s="12">
        <v>0</v>
      </c>
      <c r="C8" s="12">
        <v>0</v>
      </c>
      <c r="D8" s="12">
        <v>0</v>
      </c>
      <c r="E8" s="12">
        <v>0</v>
      </c>
      <c r="F8" s="12">
        <v>0</v>
      </c>
      <c r="G8" s="12">
        <v>0</v>
      </c>
      <c r="H8" s="12">
        <v>0</v>
      </c>
      <c r="I8" s="12">
        <v>0</v>
      </c>
      <c r="J8" s="12">
        <v>0</v>
      </c>
      <c r="K8" s="12">
        <v>0</v>
      </c>
      <c r="L8" s="12">
        <v>0</v>
      </c>
      <c r="M8" s="12">
        <v>0</v>
      </c>
      <c r="N8" s="12">
        <v>0</v>
      </c>
      <c r="O8" s="12">
        <v>0</v>
      </c>
      <c r="P8" s="12">
        <v>0</v>
      </c>
      <c r="Q8" s="12">
        <v>0</v>
      </c>
      <c r="R8" s="12">
        <v>0</v>
      </c>
      <c r="S8" s="12">
        <f>B51*(B43/4+B44/4+B45/4)</f>
        <v>235000</v>
      </c>
      <c r="T8" s="12">
        <f>B51*(B43/4+B44/4+B45/4)</f>
        <v>235000</v>
      </c>
      <c r="U8" s="12">
        <f>B51*(B43/2+B44/2+B45/2)</f>
        <v>470000</v>
      </c>
      <c r="V8" s="12">
        <v>0</v>
      </c>
      <c r="W8" s="12">
        <v>0</v>
      </c>
      <c r="X8" s="12">
        <v>0</v>
      </c>
      <c r="Y8" s="12">
        <v>0</v>
      </c>
      <c r="Z8" s="12">
        <v>0</v>
      </c>
      <c r="AA8" s="12">
        <v>0</v>
      </c>
      <c r="AB8" s="12">
        <f t="shared" si="0"/>
        <v>940000</v>
      </c>
    </row>
    <row r="9" spans="1:28" ht="15.75">
      <c r="A9" s="13" t="s">
        <v>15</v>
      </c>
      <c r="B9" s="12">
        <v>0</v>
      </c>
      <c r="C9" s="12">
        <v>0</v>
      </c>
      <c r="D9" s="12">
        <v>0</v>
      </c>
      <c r="E9" s="12">
        <v>0</v>
      </c>
      <c r="F9" s="12">
        <v>0</v>
      </c>
      <c r="G9" s="12">
        <v>0</v>
      </c>
      <c r="H9" s="12">
        <v>0</v>
      </c>
      <c r="I9" s="12">
        <v>0</v>
      </c>
      <c r="J9" s="12">
        <v>0</v>
      </c>
      <c r="K9" s="12">
        <v>0</v>
      </c>
      <c r="L9" s="12">
        <v>0</v>
      </c>
      <c r="M9" s="12">
        <v>0</v>
      </c>
      <c r="N9" s="12"/>
      <c r="O9" s="12"/>
      <c r="P9" s="12"/>
      <c r="Q9" s="12"/>
      <c r="R9" s="12"/>
      <c r="S9" s="12"/>
      <c r="T9" s="12"/>
      <c r="U9" s="12"/>
      <c r="V9" s="25">
        <f>((B43+B44+B45)*B46*0.8)*4</f>
        <v>105280</v>
      </c>
      <c r="W9" s="12">
        <v>0</v>
      </c>
      <c r="X9" s="12">
        <v>0</v>
      </c>
      <c r="Y9" s="12">
        <v>0</v>
      </c>
      <c r="Z9" s="12">
        <f>((B43+B44+B45)*B46*0.8)*4</f>
        <v>105280</v>
      </c>
      <c r="AA9" s="12">
        <v>0</v>
      </c>
      <c r="AB9" s="12">
        <f t="shared" si="0"/>
        <v>210560</v>
      </c>
    </row>
    <row r="10" spans="1:28" ht="15.75">
      <c r="A10" s="13" t="s">
        <v>16</v>
      </c>
      <c r="B10" s="12">
        <v>0</v>
      </c>
      <c r="C10" s="12">
        <v>0</v>
      </c>
      <c r="D10" s="12">
        <v>0</v>
      </c>
      <c r="E10" s="12">
        <v>0</v>
      </c>
      <c r="F10" s="12">
        <v>0</v>
      </c>
      <c r="G10" s="12">
        <v>0</v>
      </c>
      <c r="H10" s="12">
        <v>50000</v>
      </c>
      <c r="I10" s="12">
        <v>0</v>
      </c>
      <c r="J10" s="12">
        <f>40*(B43+B44+B45)*60</f>
        <v>1128000</v>
      </c>
      <c r="K10" s="12">
        <v>0</v>
      </c>
      <c r="L10" s="12">
        <v>0</v>
      </c>
      <c r="M10" s="12">
        <v>0</v>
      </c>
      <c r="N10" s="12"/>
      <c r="O10" s="12"/>
      <c r="P10" s="12"/>
      <c r="Q10" s="12"/>
      <c r="R10" s="12"/>
      <c r="S10" s="12"/>
      <c r="T10" s="12"/>
      <c r="U10" s="12"/>
      <c r="V10" s="12"/>
      <c r="W10" s="12"/>
      <c r="X10" s="12">
        <v>0</v>
      </c>
      <c r="Y10" s="12">
        <v>0</v>
      </c>
      <c r="Z10" s="12"/>
      <c r="AA10" s="12"/>
      <c r="AB10" s="12">
        <f t="shared" si="0"/>
        <v>1178000</v>
      </c>
    </row>
    <row r="11" spans="1:28" ht="15.75">
      <c r="A11" s="13" t="s">
        <v>17</v>
      </c>
      <c r="B11" s="12">
        <v>0</v>
      </c>
      <c r="C11" s="12">
        <v>0</v>
      </c>
      <c r="D11" s="12">
        <v>0</v>
      </c>
      <c r="E11" s="12">
        <v>0</v>
      </c>
      <c r="F11" s="12">
        <v>0</v>
      </c>
      <c r="G11" s="12">
        <v>0</v>
      </c>
      <c r="H11" s="12">
        <v>0</v>
      </c>
      <c r="I11" s="12">
        <v>0</v>
      </c>
      <c r="J11" s="12"/>
      <c r="K11" s="12">
        <v>0</v>
      </c>
      <c r="L11" s="12">
        <v>0</v>
      </c>
      <c r="M11" s="12">
        <v>0</v>
      </c>
      <c r="N11" s="12"/>
      <c r="O11" s="12"/>
      <c r="P11" s="12"/>
      <c r="Q11" s="12"/>
      <c r="R11" s="12"/>
      <c r="S11" s="12"/>
      <c r="T11" s="12"/>
      <c r="U11" s="12"/>
      <c r="V11" s="12"/>
      <c r="W11" s="12"/>
      <c r="X11" s="12">
        <v>0</v>
      </c>
      <c r="Y11" s="12">
        <v>0</v>
      </c>
      <c r="Z11" s="12"/>
      <c r="AA11" s="12"/>
      <c r="AB11" s="12">
        <f t="shared" si="0"/>
        <v>0</v>
      </c>
    </row>
    <row r="12" spans="1:28" ht="15.75">
      <c r="A12" s="13" t="s">
        <v>18</v>
      </c>
      <c r="B12" s="12">
        <v>0</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c r="AB12" s="12">
        <f t="shared" si="0"/>
        <v>0</v>
      </c>
    </row>
    <row r="13" spans="1:28" ht="15.75">
      <c r="A13" s="13" t="s">
        <v>39</v>
      </c>
      <c r="B13" s="12">
        <f aca="true" t="shared" si="1" ref="B13:G13">SUM(B8:B10)*0.25</f>
        <v>0</v>
      </c>
      <c r="C13" s="12">
        <f t="shared" si="1"/>
        <v>0</v>
      </c>
      <c r="D13" s="12">
        <f t="shared" si="1"/>
        <v>0</v>
      </c>
      <c r="E13" s="12">
        <f t="shared" si="1"/>
        <v>0</v>
      </c>
      <c r="F13" s="12">
        <f t="shared" si="1"/>
        <v>0</v>
      </c>
      <c r="G13" s="12">
        <f t="shared" si="1"/>
        <v>0</v>
      </c>
      <c r="H13" s="12">
        <f aca="true" t="shared" si="2" ref="H13:M13">SUM(H9:H11)*0.25</f>
        <v>12500</v>
      </c>
      <c r="I13" s="12">
        <f t="shared" si="2"/>
        <v>0</v>
      </c>
      <c r="J13" s="12">
        <f t="shared" si="2"/>
        <v>282000</v>
      </c>
      <c r="K13" s="12">
        <f t="shared" si="2"/>
        <v>0</v>
      </c>
      <c r="L13" s="12">
        <f t="shared" si="2"/>
        <v>0</v>
      </c>
      <c r="M13" s="12">
        <f t="shared" si="2"/>
        <v>0</v>
      </c>
      <c r="N13" s="12">
        <f aca="true" t="shared" si="3" ref="N13:S13">SUM(N8:N10)*0.25</f>
        <v>0</v>
      </c>
      <c r="O13" s="12">
        <f t="shared" si="3"/>
        <v>0</v>
      </c>
      <c r="P13" s="12">
        <f t="shared" si="3"/>
        <v>0</v>
      </c>
      <c r="Q13" s="12">
        <f t="shared" si="3"/>
        <v>0</v>
      </c>
      <c r="R13" s="12">
        <f t="shared" si="3"/>
        <v>0</v>
      </c>
      <c r="S13" s="12">
        <f t="shared" si="3"/>
        <v>58750</v>
      </c>
      <c r="T13" s="12">
        <f>SUM(T9:T11)*0.25</f>
        <v>0</v>
      </c>
      <c r="U13" s="12">
        <f>SUM(U9:U11)*0.25</f>
        <v>0</v>
      </c>
      <c r="V13" s="12">
        <f>SUM(V8:V11)*0.25</f>
        <v>26320</v>
      </c>
      <c r="W13" s="12">
        <f>SUM(W8:W11)*0.25</f>
        <v>0</v>
      </c>
      <c r="X13" s="12">
        <f>SUM(X9:X11)*0.25</f>
        <v>0</v>
      </c>
      <c r="Y13" s="12">
        <f>SUM(Y9:Y11)*0.25</f>
        <v>0</v>
      </c>
      <c r="Z13" s="12">
        <f>SUM(Z8:Z10)*0.25</f>
        <v>26320</v>
      </c>
      <c r="AA13" s="12">
        <f>SUM(AA8:AA10)*0.25</f>
        <v>0</v>
      </c>
      <c r="AB13" s="12">
        <f t="shared" si="0"/>
        <v>405890</v>
      </c>
    </row>
    <row r="14" spans="1:28" ht="16.5" thickBot="1">
      <c r="A14" s="13" t="s">
        <v>42</v>
      </c>
      <c r="B14" s="12">
        <f>0</f>
        <v>0</v>
      </c>
      <c r="C14" s="12">
        <v>0</v>
      </c>
      <c r="D14" s="12">
        <v>0</v>
      </c>
      <c r="E14" s="12">
        <v>0</v>
      </c>
      <c r="F14" s="12">
        <v>0</v>
      </c>
      <c r="G14" s="12">
        <v>0</v>
      </c>
      <c r="H14" s="12">
        <v>0</v>
      </c>
      <c r="I14" s="12">
        <f aca="true" t="shared" si="4" ref="I14:AA14">IF(G13+G38&lt;0,-(G13+G38),0)</f>
        <v>78365</v>
      </c>
      <c r="J14" s="12">
        <f t="shared" si="4"/>
        <v>46425</v>
      </c>
      <c r="K14" s="12">
        <f t="shared" si="4"/>
        <v>940</v>
      </c>
      <c r="L14" s="12">
        <f t="shared" si="4"/>
        <v>0</v>
      </c>
      <c r="M14" s="12">
        <f t="shared" si="4"/>
        <v>229190</v>
      </c>
      <c r="N14" s="12">
        <f t="shared" si="4"/>
        <v>229075</v>
      </c>
      <c r="O14" s="12">
        <f t="shared" si="4"/>
        <v>229405</v>
      </c>
      <c r="P14" s="12">
        <f t="shared" si="4"/>
        <v>230259</v>
      </c>
      <c r="Q14" s="12">
        <f t="shared" si="4"/>
        <v>230786.66666666666</v>
      </c>
      <c r="R14" s="12">
        <f t="shared" si="4"/>
        <v>229531</v>
      </c>
      <c r="S14" s="12">
        <f t="shared" si="4"/>
        <v>231458.46666666667</v>
      </c>
      <c r="T14" s="12">
        <f t="shared" si="4"/>
        <v>229945</v>
      </c>
      <c r="U14" s="12">
        <f t="shared" si="4"/>
        <v>171356.5</v>
      </c>
      <c r="V14" s="12">
        <f t="shared" si="4"/>
        <v>229856.5</v>
      </c>
      <c r="W14" s="12">
        <f t="shared" si="4"/>
        <v>230734.66666666666</v>
      </c>
      <c r="X14" s="12">
        <f t="shared" si="4"/>
        <v>10421</v>
      </c>
      <c r="Y14" s="12">
        <f t="shared" si="4"/>
        <v>1061.6666666666665</v>
      </c>
      <c r="Z14" s="12">
        <f t="shared" si="4"/>
        <v>895</v>
      </c>
      <c r="AA14" s="12">
        <f t="shared" si="4"/>
        <v>1061.6666666666665</v>
      </c>
      <c r="AB14" s="12">
        <f t="shared" si="0"/>
        <v>2610767.133333333</v>
      </c>
    </row>
    <row r="15" spans="1:28" s="16" customFormat="1" ht="15.75">
      <c r="A15" s="14" t="s">
        <v>19</v>
      </c>
      <c r="B15" s="15">
        <f aca="true" t="shared" si="5" ref="B15:AA15">SUM(B6:B14)</f>
        <v>0</v>
      </c>
      <c r="C15" s="15">
        <f t="shared" si="5"/>
        <v>0</v>
      </c>
      <c r="D15" s="15">
        <f t="shared" si="5"/>
        <v>900</v>
      </c>
      <c r="E15" s="15">
        <f t="shared" si="5"/>
        <v>1000</v>
      </c>
      <c r="F15" s="15">
        <f t="shared" si="5"/>
        <v>260000</v>
      </c>
      <c r="G15" s="15">
        <f t="shared" si="5"/>
        <v>260000</v>
      </c>
      <c r="H15" s="15">
        <f t="shared" si="5"/>
        <v>322500</v>
      </c>
      <c r="I15" s="15">
        <f t="shared" si="5"/>
        <v>208365</v>
      </c>
      <c r="J15" s="15">
        <f t="shared" si="5"/>
        <v>2884525</v>
      </c>
      <c r="K15" s="15">
        <f t="shared" si="5"/>
        <v>1300940</v>
      </c>
      <c r="L15" s="15">
        <f t="shared" si="5"/>
        <v>0</v>
      </c>
      <c r="M15" s="15">
        <f t="shared" si="5"/>
        <v>679190</v>
      </c>
      <c r="N15" s="15">
        <f t="shared" si="5"/>
        <v>1551575</v>
      </c>
      <c r="O15" s="15">
        <f t="shared" si="5"/>
        <v>1876905</v>
      </c>
      <c r="P15" s="15">
        <f t="shared" si="5"/>
        <v>540259</v>
      </c>
      <c r="Q15" s="15">
        <f t="shared" si="5"/>
        <v>1582786.6666666667</v>
      </c>
      <c r="R15" s="15">
        <f t="shared" si="5"/>
        <v>1699531</v>
      </c>
      <c r="S15" s="15">
        <f t="shared" si="5"/>
        <v>525208.4666666667</v>
      </c>
      <c r="T15" s="15">
        <f t="shared" si="5"/>
        <v>464945</v>
      </c>
      <c r="U15" s="15">
        <f t="shared" si="5"/>
        <v>641356.5</v>
      </c>
      <c r="V15" s="15">
        <f t="shared" si="5"/>
        <v>361456.5</v>
      </c>
      <c r="W15" s="15">
        <f t="shared" si="5"/>
        <v>230734.66666666666</v>
      </c>
      <c r="X15" s="15">
        <f t="shared" si="5"/>
        <v>10421</v>
      </c>
      <c r="Y15" s="15">
        <f t="shared" si="5"/>
        <v>1061.6666666666665</v>
      </c>
      <c r="Z15" s="15">
        <f t="shared" si="5"/>
        <v>132495</v>
      </c>
      <c r="AA15" s="15">
        <f t="shared" si="5"/>
        <v>1061.6666666666665</v>
      </c>
      <c r="AB15" s="15"/>
    </row>
    <row r="16" spans="1:28" s="7" customFormat="1" ht="20.25">
      <c r="A16" s="17" t="s">
        <v>20</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row>
    <row r="17" spans="1:29" ht="15.75">
      <c r="A17" s="13" t="s">
        <v>82</v>
      </c>
      <c r="B17" s="12">
        <v>0</v>
      </c>
      <c r="C17" s="12">
        <v>0</v>
      </c>
      <c r="D17" s="12">
        <v>0</v>
      </c>
      <c r="E17" s="12">
        <v>0</v>
      </c>
      <c r="F17" s="12">
        <v>0</v>
      </c>
      <c r="G17" s="12">
        <v>-69000</v>
      </c>
      <c r="H17" s="12">
        <v>0</v>
      </c>
      <c r="I17" s="12">
        <v>0</v>
      </c>
      <c r="J17" s="12">
        <v>-315000</v>
      </c>
      <c r="K17" s="12">
        <v>-315000</v>
      </c>
      <c r="L17" s="12">
        <v>-315000</v>
      </c>
      <c r="M17" s="12">
        <v>-315000</v>
      </c>
      <c r="N17" s="12">
        <v>-315000</v>
      </c>
      <c r="O17" s="12">
        <v>-315000</v>
      </c>
      <c r="P17" s="12">
        <v>-315000</v>
      </c>
      <c r="Q17" s="12">
        <v>-315000</v>
      </c>
      <c r="R17" s="12">
        <v>-315000</v>
      </c>
      <c r="S17" s="12">
        <v>-315000</v>
      </c>
      <c r="T17" s="12">
        <v>-315000</v>
      </c>
      <c r="U17" s="12">
        <v>-315000</v>
      </c>
      <c r="V17" s="12"/>
      <c r="W17" s="12"/>
      <c r="X17" s="12"/>
      <c r="Y17" s="12"/>
      <c r="Z17" s="12"/>
      <c r="AA17" s="12"/>
      <c r="AB17" s="12">
        <f>SUM(B17:AA17)</f>
        <v>-3849000</v>
      </c>
      <c r="AC17" s="33">
        <v>3.6</v>
      </c>
    </row>
    <row r="18" spans="1:29" ht="15.75">
      <c r="A18" s="13" t="s">
        <v>83</v>
      </c>
      <c r="B18" s="12">
        <v>0</v>
      </c>
      <c r="C18" s="12">
        <v>0</v>
      </c>
      <c r="D18" s="12">
        <v>0</v>
      </c>
      <c r="E18" s="12">
        <v>0</v>
      </c>
      <c r="F18" s="12">
        <v>0</v>
      </c>
      <c r="G18" s="12">
        <f>-380000/2</f>
        <v>-190000</v>
      </c>
      <c r="H18" s="12">
        <f>-380000/2</f>
        <v>-190000</v>
      </c>
      <c r="I18" s="12">
        <v>0</v>
      </c>
      <c r="J18" s="12">
        <v>-600000</v>
      </c>
      <c r="K18" s="12">
        <v>-600000</v>
      </c>
      <c r="L18" s="12">
        <v>-600000</v>
      </c>
      <c r="M18" s="12">
        <v>-600000</v>
      </c>
      <c r="N18" s="12">
        <v>-600000</v>
      </c>
      <c r="O18" s="12">
        <v>-600000</v>
      </c>
      <c r="P18" s="12">
        <v>-600000</v>
      </c>
      <c r="Q18" s="12">
        <v>-600000</v>
      </c>
      <c r="R18" s="12">
        <v>-600000</v>
      </c>
      <c r="S18" s="12">
        <v>-600000</v>
      </c>
      <c r="T18" s="12">
        <v>-600000</v>
      </c>
      <c r="U18" s="12">
        <v>-600000</v>
      </c>
      <c r="V18" s="12"/>
      <c r="W18" s="12"/>
      <c r="X18" s="12"/>
      <c r="Y18" s="12"/>
      <c r="Z18" s="12"/>
      <c r="AA18" s="12"/>
      <c r="AB18" s="12">
        <f>SUM(B18:AA18)</f>
        <v>-7580000</v>
      </c>
      <c r="AC18" s="33">
        <v>5.75</v>
      </c>
    </row>
    <row r="19" spans="1:29" ht="15.75">
      <c r="A19" s="13" t="s">
        <v>84</v>
      </c>
      <c r="B19" s="12"/>
      <c r="C19" s="38">
        <v>-24000</v>
      </c>
      <c r="D19" s="12"/>
      <c r="E19" s="12"/>
      <c r="F19" s="12"/>
      <c r="G19" s="12">
        <f>-7800+0.5*0.2*(G18+H18+G17+H17)</f>
        <v>-52700</v>
      </c>
      <c r="H19" s="12">
        <f>0.5*0.2*(G18+H18+G17+H17)</f>
        <v>-44900</v>
      </c>
      <c r="I19" s="12">
        <v>0</v>
      </c>
      <c r="J19" s="12"/>
      <c r="K19" s="12"/>
      <c r="L19" s="12"/>
      <c r="M19" s="12"/>
      <c r="N19" s="12"/>
      <c r="O19" s="12"/>
      <c r="P19" s="12"/>
      <c r="Q19" s="12"/>
      <c r="R19" s="12"/>
      <c r="S19" s="12"/>
      <c r="T19" s="12"/>
      <c r="U19" s="12"/>
      <c r="V19" s="12">
        <v>-140000</v>
      </c>
      <c r="W19" s="12"/>
      <c r="X19" s="12"/>
      <c r="Y19" s="12"/>
      <c r="Z19" s="12"/>
      <c r="AA19" s="12"/>
      <c r="AB19" s="12">
        <f>SUM(B19:AA19)</f>
        <v>-261600</v>
      </c>
      <c r="AC19" s="33"/>
    </row>
    <row r="20" spans="1:28" ht="15.75">
      <c r="A20" s="13" t="s">
        <v>21</v>
      </c>
      <c r="B20" s="12">
        <v>0</v>
      </c>
      <c r="C20" s="12">
        <v>0</v>
      </c>
      <c r="D20" s="12">
        <v>0</v>
      </c>
      <c r="E20" s="12">
        <v>0</v>
      </c>
      <c r="F20" s="12">
        <v>0</v>
      </c>
      <c r="G20" s="12">
        <v>0</v>
      </c>
      <c r="H20" s="12">
        <v>0</v>
      </c>
      <c r="I20" s="12">
        <v>0</v>
      </c>
      <c r="J20" s="12">
        <v>0</v>
      </c>
      <c r="K20" s="12">
        <v>0</v>
      </c>
      <c r="L20" s="12">
        <v>0</v>
      </c>
      <c r="M20" s="12">
        <v>0</v>
      </c>
      <c r="N20" s="12">
        <v>0</v>
      </c>
      <c r="O20" s="12">
        <v>0</v>
      </c>
      <c r="P20" s="12">
        <v>0</v>
      </c>
      <c r="Q20" s="12">
        <v>0</v>
      </c>
      <c r="R20" s="12">
        <v>0</v>
      </c>
      <c r="S20" s="12">
        <v>0</v>
      </c>
      <c r="T20" s="12">
        <v>0</v>
      </c>
      <c r="U20" s="12">
        <v>0</v>
      </c>
      <c r="V20" s="12">
        <v>0</v>
      </c>
      <c r="W20" s="12">
        <v>0</v>
      </c>
      <c r="X20" s="12">
        <v>0</v>
      </c>
      <c r="Y20" s="12">
        <v>0</v>
      </c>
      <c r="Z20" s="12">
        <v>0</v>
      </c>
      <c r="AA20" s="12">
        <v>0</v>
      </c>
      <c r="AB20" s="12">
        <f aca="true" t="shared" si="6" ref="AB20:AB39">SUM(B20:AA20)</f>
        <v>0</v>
      </c>
    </row>
    <row r="21" spans="1:28" ht="15.75">
      <c r="A21" s="13" t="s">
        <v>22</v>
      </c>
      <c r="B21" s="12">
        <v>0</v>
      </c>
      <c r="C21" s="12">
        <v>0</v>
      </c>
      <c r="D21" s="12">
        <v>0</v>
      </c>
      <c r="E21" s="12">
        <v>0</v>
      </c>
      <c r="F21" s="12">
        <v>0</v>
      </c>
      <c r="G21" s="12">
        <v>0</v>
      </c>
      <c r="H21" s="12">
        <v>0</v>
      </c>
      <c r="I21" s="12">
        <v>0</v>
      </c>
      <c r="J21" s="12">
        <v>0</v>
      </c>
      <c r="K21" s="12">
        <v>0</v>
      </c>
      <c r="L21" s="12">
        <v>0</v>
      </c>
      <c r="M21" s="12">
        <v>0</v>
      </c>
      <c r="N21" s="12">
        <v>0</v>
      </c>
      <c r="O21" s="12">
        <v>0</v>
      </c>
      <c r="P21" s="12">
        <v>0</v>
      </c>
      <c r="Q21" s="12">
        <v>0</v>
      </c>
      <c r="R21" s="12">
        <v>0</v>
      </c>
      <c r="S21" s="12">
        <v>0</v>
      </c>
      <c r="T21" s="12">
        <v>0</v>
      </c>
      <c r="U21" s="12">
        <v>0</v>
      </c>
      <c r="V21" s="12">
        <v>0</v>
      </c>
      <c r="W21" s="12">
        <v>0</v>
      </c>
      <c r="X21" s="12">
        <v>0</v>
      </c>
      <c r="Y21" s="12">
        <v>0</v>
      </c>
      <c r="Z21" s="12">
        <v>0</v>
      </c>
      <c r="AA21" s="12">
        <v>0</v>
      </c>
      <c r="AB21" s="12">
        <f t="shared" si="6"/>
        <v>0</v>
      </c>
    </row>
    <row r="22" spans="1:28" ht="15.75">
      <c r="A22" s="13" t="s">
        <v>23</v>
      </c>
      <c r="B22" s="12">
        <v>0</v>
      </c>
      <c r="C22" s="12">
        <v>0</v>
      </c>
      <c r="D22" s="12">
        <v>0</v>
      </c>
      <c r="E22" s="12">
        <v>0</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c r="AB22" s="12">
        <f t="shared" si="6"/>
        <v>0</v>
      </c>
    </row>
    <row r="23" spans="1:28" ht="15.75">
      <c r="A23" s="13" t="s">
        <v>24</v>
      </c>
      <c r="B23" s="12">
        <v>0</v>
      </c>
      <c r="C23" s="12">
        <v>0</v>
      </c>
      <c r="D23" s="12">
        <v>0</v>
      </c>
      <c r="E23" s="12">
        <v>0</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c r="AB23" s="12">
        <f t="shared" si="6"/>
        <v>0</v>
      </c>
    </row>
    <row r="24" spans="1:28" ht="31.5">
      <c r="A24" s="24" t="s">
        <v>63</v>
      </c>
      <c r="B24" s="12">
        <v>0</v>
      </c>
      <c r="C24" s="12">
        <v>0</v>
      </c>
      <c r="D24" s="12">
        <v>0</v>
      </c>
      <c r="E24" s="12">
        <v>0</v>
      </c>
      <c r="F24" s="12">
        <v>0</v>
      </c>
      <c r="G24" s="12">
        <v>0</v>
      </c>
      <c r="H24" s="12">
        <v>0</v>
      </c>
      <c r="I24" s="12">
        <v>0</v>
      </c>
      <c r="J24" s="12">
        <v>0</v>
      </c>
      <c r="K24" s="12">
        <v>0</v>
      </c>
      <c r="L24" s="12">
        <v>-500</v>
      </c>
      <c r="M24" s="12">
        <v>-500</v>
      </c>
      <c r="N24" s="12">
        <v>-300</v>
      </c>
      <c r="O24" s="12">
        <f>-300-4000/6</f>
        <v>-966.6666666666666</v>
      </c>
      <c r="P24" s="12">
        <f>-300</f>
        <v>-300</v>
      </c>
      <c r="Q24" s="12">
        <f>-3*300-4000/6</f>
        <v>-1566.6666666666665</v>
      </c>
      <c r="R24" s="12">
        <f>-3*300</f>
        <v>-900</v>
      </c>
      <c r="S24" s="12">
        <f>-3*300-4000/4</f>
        <v>-1900</v>
      </c>
      <c r="T24" s="12">
        <f>-3*300</f>
        <v>-900</v>
      </c>
      <c r="U24" s="12">
        <f>-3*300-4000/6</f>
        <v>-1566.6666666666665</v>
      </c>
      <c r="V24" s="12">
        <f>-3*300</f>
        <v>-900</v>
      </c>
      <c r="W24" s="12">
        <f>-3*300-4000/6</f>
        <v>-1566.6666666666665</v>
      </c>
      <c r="X24" s="12">
        <f>-3*300</f>
        <v>-900</v>
      </c>
      <c r="Y24" s="12">
        <f>-3*300-4000/6</f>
        <v>-1566.6666666666665</v>
      </c>
      <c r="Z24" s="12">
        <f>-3*300</f>
        <v>-900</v>
      </c>
      <c r="AA24" s="12">
        <f>-3*300-4000/6</f>
        <v>-1566.6666666666665</v>
      </c>
      <c r="AB24" s="12">
        <f t="shared" si="6"/>
        <v>-16800</v>
      </c>
    </row>
    <row r="25" spans="1:28" ht="15.75">
      <c r="A25" s="13" t="s">
        <v>25</v>
      </c>
      <c r="B25" s="12">
        <v>0</v>
      </c>
      <c r="C25" s="12">
        <v>0</v>
      </c>
      <c r="D25" s="12">
        <v>0</v>
      </c>
      <c r="E25" s="12">
        <v>0</v>
      </c>
      <c r="F25" s="12">
        <v>0</v>
      </c>
      <c r="G25" s="12">
        <v>0</v>
      </c>
      <c r="H25" s="12">
        <v>0</v>
      </c>
      <c r="I25" s="12">
        <v>0</v>
      </c>
      <c r="J25" s="12">
        <v>0</v>
      </c>
      <c r="K25" s="12">
        <v>0</v>
      </c>
      <c r="L25" s="12">
        <v>0</v>
      </c>
      <c r="M25" s="12">
        <v>0</v>
      </c>
      <c r="N25" s="12">
        <v>0</v>
      </c>
      <c r="O25" s="12">
        <v>0</v>
      </c>
      <c r="P25" s="12">
        <v>0</v>
      </c>
      <c r="Q25" s="12">
        <v>0</v>
      </c>
      <c r="R25" s="12">
        <v>0</v>
      </c>
      <c r="S25" s="12">
        <v>0</v>
      </c>
      <c r="T25" s="12">
        <v>0</v>
      </c>
      <c r="U25" s="12">
        <v>0</v>
      </c>
      <c r="V25" s="12">
        <v>0</v>
      </c>
      <c r="W25" s="12">
        <v>0</v>
      </c>
      <c r="X25" s="12">
        <v>0</v>
      </c>
      <c r="Y25" s="12">
        <v>0</v>
      </c>
      <c r="Z25" s="12">
        <v>0</v>
      </c>
      <c r="AA25" s="12">
        <v>0</v>
      </c>
      <c r="AB25" s="12">
        <f t="shared" si="6"/>
        <v>0</v>
      </c>
    </row>
    <row r="26" spans="1:28" ht="15.75">
      <c r="A26" s="13" t="s">
        <v>40</v>
      </c>
      <c r="B26" s="12">
        <v>-800</v>
      </c>
      <c r="C26" s="12">
        <v>-800</v>
      </c>
      <c r="D26" s="12">
        <v>-800</v>
      </c>
      <c r="E26" s="12">
        <v>-800</v>
      </c>
      <c r="F26" s="12">
        <v>-800</v>
      </c>
      <c r="G26" s="12">
        <v>-800</v>
      </c>
      <c r="H26" s="12">
        <v>-800</v>
      </c>
      <c r="I26" s="12">
        <v>-800</v>
      </c>
      <c r="J26" s="12">
        <v>-800</v>
      </c>
      <c r="K26" s="12">
        <v>-800</v>
      </c>
      <c r="L26" s="12">
        <v>-800</v>
      </c>
      <c r="M26" s="12">
        <v>-800</v>
      </c>
      <c r="N26" s="12">
        <v>-800</v>
      </c>
      <c r="O26" s="12">
        <v>-800</v>
      </c>
      <c r="P26" s="12">
        <v>-800</v>
      </c>
      <c r="Q26" s="12">
        <v>-800</v>
      </c>
      <c r="R26" s="12">
        <v>-800</v>
      </c>
      <c r="S26" s="12">
        <v>-800</v>
      </c>
      <c r="T26" s="12">
        <v>-800</v>
      </c>
      <c r="U26" s="12">
        <v>-800</v>
      </c>
      <c r="V26" s="12">
        <v>-800</v>
      </c>
      <c r="W26" s="12">
        <v>-800</v>
      </c>
      <c r="X26" s="12">
        <v>-800</v>
      </c>
      <c r="Y26" s="12">
        <v>-800</v>
      </c>
      <c r="Z26" s="12">
        <v>-800</v>
      </c>
      <c r="AA26" s="12">
        <v>-800</v>
      </c>
      <c r="AB26" s="12">
        <f t="shared" si="6"/>
        <v>-20800</v>
      </c>
    </row>
    <row r="27" spans="1:28" ht="15.75">
      <c r="A27" s="13" t="s">
        <v>35</v>
      </c>
      <c r="B27" s="12">
        <v>0</v>
      </c>
      <c r="C27" s="12">
        <v>0</v>
      </c>
      <c r="D27" s="12">
        <f>-1856*0.8</f>
        <v>-1484.8000000000002</v>
      </c>
      <c r="E27" s="12">
        <f>-1856*0.8</f>
        <v>-1484.8000000000002</v>
      </c>
      <c r="F27" s="12">
        <f>-600*0.8</f>
        <v>-480</v>
      </c>
      <c r="G27" s="12">
        <v>0</v>
      </c>
      <c r="H27" s="12">
        <v>0</v>
      </c>
      <c r="I27" s="12">
        <v>0</v>
      </c>
      <c r="J27" s="12">
        <v>0</v>
      </c>
      <c r="K27" s="12">
        <v>0</v>
      </c>
      <c r="L27" s="12">
        <v>0</v>
      </c>
      <c r="M27" s="12">
        <v>0</v>
      </c>
      <c r="N27" s="12">
        <v>0</v>
      </c>
      <c r="O27" s="12">
        <v>0</v>
      </c>
      <c r="P27" s="12"/>
      <c r="Q27" s="12">
        <f>-1856*0.8</f>
        <v>-1484.8000000000002</v>
      </c>
      <c r="R27" s="12"/>
      <c r="S27" s="12">
        <v>0</v>
      </c>
      <c r="T27" s="12">
        <v>0</v>
      </c>
      <c r="U27" s="12">
        <v>0</v>
      </c>
      <c r="V27" s="12">
        <v>0</v>
      </c>
      <c r="W27" s="12">
        <v>0</v>
      </c>
      <c r="X27" s="12">
        <v>0</v>
      </c>
      <c r="Y27" s="12">
        <v>0</v>
      </c>
      <c r="Z27" s="12">
        <v>0</v>
      </c>
      <c r="AA27" s="12">
        <v>0</v>
      </c>
      <c r="AB27" s="12">
        <f t="shared" si="6"/>
        <v>-4934.400000000001</v>
      </c>
    </row>
    <row r="28" spans="1:29" ht="15.75">
      <c r="A28" s="13" t="s">
        <v>26</v>
      </c>
      <c r="B28" s="12">
        <v>0</v>
      </c>
      <c r="C28" s="12">
        <v>0</v>
      </c>
      <c r="D28" s="12">
        <v>0</v>
      </c>
      <c r="E28" s="12">
        <f>-1200*0.8</f>
        <v>-960</v>
      </c>
      <c r="F28" s="12">
        <v>0</v>
      </c>
      <c r="G28" s="12">
        <f>-1200*0.8</f>
        <v>-960</v>
      </c>
      <c r="H28" s="12">
        <v>0</v>
      </c>
      <c r="I28" s="12">
        <f>-1200*0.8</f>
        <v>-960</v>
      </c>
      <c r="J28" s="12">
        <v>0</v>
      </c>
      <c r="K28" s="12">
        <f>-1200*0.8</f>
        <v>-960</v>
      </c>
      <c r="L28" s="12">
        <v>0</v>
      </c>
      <c r="M28" s="12">
        <f>-1200*0.8</f>
        <v>-960</v>
      </c>
      <c r="N28" s="12">
        <v>0</v>
      </c>
      <c r="O28" s="12">
        <v>0</v>
      </c>
      <c r="P28" s="12">
        <v>0</v>
      </c>
      <c r="Q28" s="12">
        <f>-1200*0.8</f>
        <v>-960</v>
      </c>
      <c r="R28" s="12">
        <v>0</v>
      </c>
      <c r="S28" s="12"/>
      <c r="T28" s="12">
        <v>0</v>
      </c>
      <c r="U28" s="12"/>
      <c r="V28" s="12">
        <v>0</v>
      </c>
      <c r="W28" s="12"/>
      <c r="X28" s="12">
        <v>0</v>
      </c>
      <c r="Y28" s="12"/>
      <c r="Z28" s="12">
        <v>0</v>
      </c>
      <c r="AA28" s="12">
        <v>0</v>
      </c>
      <c r="AB28" s="12">
        <f t="shared" si="6"/>
        <v>-5760</v>
      </c>
      <c r="AC28" s="2" t="s">
        <v>36</v>
      </c>
    </row>
    <row r="29" spans="1:28" ht="15.75">
      <c r="A29" s="13" t="s">
        <v>27</v>
      </c>
      <c r="B29" s="12">
        <v>0</v>
      </c>
      <c r="C29" s="12">
        <v>0</v>
      </c>
      <c r="D29" s="12">
        <v>0</v>
      </c>
      <c r="E29" s="12">
        <v>0</v>
      </c>
      <c r="F29" s="12">
        <v>0</v>
      </c>
      <c r="G29" s="12">
        <v>0</v>
      </c>
      <c r="H29" s="12">
        <v>0</v>
      </c>
      <c r="I29" s="12">
        <v>0</v>
      </c>
      <c r="J29" s="12">
        <v>0</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12">
        <v>0</v>
      </c>
      <c r="AB29" s="12">
        <f t="shared" si="6"/>
        <v>0</v>
      </c>
    </row>
    <row r="30" spans="1:28" ht="15.75">
      <c r="A30" s="13" t="s">
        <v>37</v>
      </c>
      <c r="B30" s="12">
        <f>-220*0.8</f>
        <v>-176</v>
      </c>
      <c r="C30" s="12">
        <v>0</v>
      </c>
      <c r="D30" s="12">
        <v>0</v>
      </c>
      <c r="E30" s="12">
        <f>-948*0.8</f>
        <v>-758.4000000000001</v>
      </c>
      <c r="F30" s="12">
        <v>0</v>
      </c>
      <c r="G30" s="12">
        <v>0</v>
      </c>
      <c r="H30" s="12">
        <v>0</v>
      </c>
      <c r="I30" s="12">
        <v>0</v>
      </c>
      <c r="J30" s="12">
        <v>0</v>
      </c>
      <c r="K30" s="12">
        <v>0</v>
      </c>
      <c r="L30" s="12">
        <v>0</v>
      </c>
      <c r="M30" s="12">
        <v>0</v>
      </c>
      <c r="N30" s="12">
        <f>-220*0.8</f>
        <v>-176</v>
      </c>
      <c r="O30" s="12">
        <v>0</v>
      </c>
      <c r="P30" s="12">
        <v>0</v>
      </c>
      <c r="Q30" s="12">
        <f>-948*0.8</f>
        <v>-758.4000000000001</v>
      </c>
      <c r="R30" s="12">
        <v>0</v>
      </c>
      <c r="S30" s="12">
        <v>0</v>
      </c>
      <c r="T30" s="12">
        <v>0</v>
      </c>
      <c r="U30" s="12">
        <v>0</v>
      </c>
      <c r="V30" s="12">
        <v>0</v>
      </c>
      <c r="W30" s="12">
        <v>0</v>
      </c>
      <c r="X30" s="12">
        <v>0</v>
      </c>
      <c r="Y30" s="12">
        <v>0</v>
      </c>
      <c r="Z30" s="12">
        <f>-220*0.8</f>
        <v>-176</v>
      </c>
      <c r="AA30" s="12">
        <v>0</v>
      </c>
      <c r="AB30" s="12">
        <f t="shared" si="6"/>
        <v>-2044.8000000000002</v>
      </c>
    </row>
    <row r="31" spans="1:28" ht="47.25">
      <c r="A31" s="24" t="s">
        <v>65</v>
      </c>
      <c r="B31" s="12">
        <v>0</v>
      </c>
      <c r="C31" s="12">
        <v>0</v>
      </c>
      <c r="D31" s="12">
        <v>0</v>
      </c>
      <c r="E31" s="12">
        <v>0</v>
      </c>
      <c r="F31" s="12">
        <v>0</v>
      </c>
      <c r="G31" s="12">
        <v>0</v>
      </c>
      <c r="H31" s="12">
        <v>0</v>
      </c>
      <c r="I31" s="12">
        <f>-2500*0.8</f>
        <v>-2000</v>
      </c>
      <c r="J31" s="12">
        <v>0</v>
      </c>
      <c r="K31" s="12">
        <v>0</v>
      </c>
      <c r="L31" s="12">
        <v>0</v>
      </c>
      <c r="M31" s="12">
        <v>0</v>
      </c>
      <c r="N31" s="12">
        <f>-4*(B43+B44+B45)</f>
        <v>-1880</v>
      </c>
      <c r="O31" s="12">
        <f>-4*(B43+B44+B45)</f>
        <v>-1880</v>
      </c>
      <c r="P31" s="12">
        <f>-4*(B43+B44+B45)</f>
        <v>-1880</v>
      </c>
      <c r="Q31" s="12">
        <f>-4*(B43+B44+B45)</f>
        <v>-1880</v>
      </c>
      <c r="R31" s="12">
        <f>-4*(B43+B44+B45)</f>
        <v>-1880</v>
      </c>
      <c r="S31" s="12">
        <f>-4*(B43+B44+B45)</f>
        <v>-1880</v>
      </c>
      <c r="T31" s="12">
        <f>-4*(B43+B44+B45)</f>
        <v>-1880</v>
      </c>
      <c r="U31" s="12">
        <f>-2500*0.8-4*(B43+B44+B45)</f>
        <v>-3880</v>
      </c>
      <c r="V31" s="12">
        <f>-4*(B43+B44+B45)</f>
        <v>-1880</v>
      </c>
      <c r="W31" s="12">
        <f>-4*(B43+B44+B45)</f>
        <v>-1880</v>
      </c>
      <c r="X31" s="12">
        <f>-4*(B43+B44+B45)</f>
        <v>-1880</v>
      </c>
      <c r="Y31" s="12">
        <f>-4*(B43+B44+B45)</f>
        <v>-1880</v>
      </c>
      <c r="Z31" s="12">
        <f>-4*(B43+B44+B45)</f>
        <v>-1880</v>
      </c>
      <c r="AA31" s="12">
        <f>-4*(B43+B44+B45)</f>
        <v>-1880</v>
      </c>
      <c r="AB31" s="12">
        <f t="shared" si="6"/>
        <v>-30320</v>
      </c>
    </row>
    <row r="32" spans="1:28" ht="15.75">
      <c r="A32" s="13" t="s">
        <v>28</v>
      </c>
      <c r="B32" s="12">
        <v>0</v>
      </c>
      <c r="C32" s="12">
        <v>-1200</v>
      </c>
      <c r="D32" s="12">
        <v>0</v>
      </c>
      <c r="E32" s="12">
        <v>0</v>
      </c>
      <c r="F32" s="12">
        <f>-1500*0.8</f>
        <v>-1200</v>
      </c>
      <c r="G32" s="12">
        <v>0</v>
      </c>
      <c r="H32" s="12">
        <v>0</v>
      </c>
      <c r="I32" s="12">
        <v>0</v>
      </c>
      <c r="J32" s="12">
        <v>0</v>
      </c>
      <c r="K32" s="12">
        <v>0</v>
      </c>
      <c r="L32" s="12">
        <v>0</v>
      </c>
      <c r="M32" s="12">
        <v>0</v>
      </c>
      <c r="N32" s="12">
        <v>0</v>
      </c>
      <c r="O32" s="12">
        <v>0</v>
      </c>
      <c r="P32" s="12">
        <v>0</v>
      </c>
      <c r="Q32" s="12">
        <v>0</v>
      </c>
      <c r="R32" s="12">
        <f>-1500*0.8</f>
        <v>-1200</v>
      </c>
      <c r="S32" s="12">
        <v>0</v>
      </c>
      <c r="T32" s="12">
        <v>0</v>
      </c>
      <c r="U32" s="12">
        <v>0</v>
      </c>
      <c r="V32" s="12">
        <v>0</v>
      </c>
      <c r="W32" s="12">
        <v>0</v>
      </c>
      <c r="X32" s="12">
        <v>0</v>
      </c>
      <c r="Y32" s="12">
        <v>0</v>
      </c>
      <c r="Z32" s="12">
        <v>0</v>
      </c>
      <c r="AA32" s="12">
        <v>0</v>
      </c>
      <c r="AB32" s="12">
        <f t="shared" si="6"/>
        <v>-3600</v>
      </c>
    </row>
    <row r="33" spans="1:28" ht="15.75">
      <c r="A33" s="13" t="s">
        <v>29</v>
      </c>
      <c r="B33" s="12">
        <v>0</v>
      </c>
      <c r="C33" s="12">
        <v>0</v>
      </c>
      <c r="D33" s="12">
        <v>0</v>
      </c>
      <c r="E33" s="12">
        <v>0</v>
      </c>
      <c r="F33" s="12">
        <v>0</v>
      </c>
      <c r="G33" s="12">
        <v>0</v>
      </c>
      <c r="H33" s="12">
        <v>0</v>
      </c>
      <c r="I33" s="12">
        <v>0</v>
      </c>
      <c r="J33" s="12">
        <v>0</v>
      </c>
      <c r="K33" s="12">
        <v>0</v>
      </c>
      <c r="L33" s="12">
        <v>0</v>
      </c>
      <c r="M33" s="12">
        <v>0</v>
      </c>
      <c r="N33" s="12">
        <v>0</v>
      </c>
      <c r="O33" s="12">
        <v>0</v>
      </c>
      <c r="P33" s="12">
        <v>0</v>
      </c>
      <c r="Q33" s="12">
        <v>0</v>
      </c>
      <c r="R33" s="12">
        <v>0</v>
      </c>
      <c r="S33" s="12">
        <v>0</v>
      </c>
      <c r="T33" s="12">
        <v>0</v>
      </c>
      <c r="U33" s="12">
        <v>0</v>
      </c>
      <c r="V33" s="12">
        <v>0</v>
      </c>
      <c r="W33" s="12">
        <v>0</v>
      </c>
      <c r="X33" s="12">
        <v>0</v>
      </c>
      <c r="Y33" s="12">
        <v>0</v>
      </c>
      <c r="Z33" s="12">
        <v>0</v>
      </c>
      <c r="AA33" s="12">
        <v>0</v>
      </c>
      <c r="AB33" s="12">
        <f t="shared" si="6"/>
        <v>0</v>
      </c>
    </row>
    <row r="34" spans="1:28" ht="15.75">
      <c r="A34" s="13" t="s">
        <v>66</v>
      </c>
      <c r="B34" s="12">
        <v>0</v>
      </c>
      <c r="C34" s="12">
        <v>0</v>
      </c>
      <c r="D34" s="12">
        <v>0</v>
      </c>
      <c r="E34" s="12">
        <v>0</v>
      </c>
      <c r="F34" s="12">
        <f>-7.2*B43</f>
        <v>-2880</v>
      </c>
      <c r="G34" s="12"/>
      <c r="H34" s="12"/>
      <c r="I34" s="12"/>
      <c r="J34" s="12">
        <f>-7.2*B43</f>
        <v>-2880</v>
      </c>
      <c r="K34" s="12"/>
      <c r="L34" s="12"/>
      <c r="M34" s="12">
        <f>-7.2*B44</f>
        <v>-360</v>
      </c>
      <c r="N34" s="12">
        <f>-7.2*B43</f>
        <v>-2880</v>
      </c>
      <c r="O34" s="12"/>
      <c r="P34" s="12">
        <f>-7.2*B45</f>
        <v>-144</v>
      </c>
      <c r="Q34" s="12">
        <f>-7.2*(B43+B44+B45)</f>
        <v>-3384</v>
      </c>
      <c r="R34" s="12"/>
      <c r="S34" s="12">
        <f>-7.2*(B43+B44+B45)/4</f>
        <v>-846</v>
      </c>
      <c r="T34" s="12">
        <f>-7.2*(B43+B44+B45)/4</f>
        <v>-846</v>
      </c>
      <c r="U34" s="12">
        <f>-7.2*(B43+B44+B45)/2</f>
        <v>-1692</v>
      </c>
      <c r="V34" s="12">
        <f>-7.2*(B43+B44+B45)</f>
        <v>-3384</v>
      </c>
      <c r="W34" s="12"/>
      <c r="X34" s="12"/>
      <c r="Y34" s="12"/>
      <c r="Z34" s="12">
        <f>-7.2*(B43+B44+B45)</f>
        <v>-3384</v>
      </c>
      <c r="AA34" s="12"/>
      <c r="AB34" s="12"/>
    </row>
    <row r="35" spans="1:28" ht="15.75">
      <c r="A35" s="13" t="s">
        <v>41</v>
      </c>
      <c r="B35" s="12">
        <v>0</v>
      </c>
      <c r="C35" s="12">
        <f>-5625*0.8</f>
        <v>-4500</v>
      </c>
      <c r="D35" s="12">
        <v>-24000</v>
      </c>
      <c r="E35" s="12">
        <v>0</v>
      </c>
      <c r="F35" s="12">
        <v>0</v>
      </c>
      <c r="G35" s="12">
        <v>0</v>
      </c>
      <c r="H35" s="12">
        <v>0</v>
      </c>
      <c r="I35" s="12">
        <v>0</v>
      </c>
      <c r="J35" s="12">
        <v>0</v>
      </c>
      <c r="K35" s="12">
        <v>0</v>
      </c>
      <c r="L35" s="12">
        <v>0</v>
      </c>
      <c r="M35" s="12">
        <v>0</v>
      </c>
      <c r="N35" s="12">
        <v>0</v>
      </c>
      <c r="O35" s="12">
        <f>-5625*0.8</f>
        <v>-4500</v>
      </c>
      <c r="P35" s="12">
        <v>0</v>
      </c>
      <c r="Q35" s="12">
        <v>0</v>
      </c>
      <c r="R35" s="12">
        <v>0</v>
      </c>
      <c r="S35" s="12">
        <v>0</v>
      </c>
      <c r="T35" s="12">
        <v>0</v>
      </c>
      <c r="U35" s="12">
        <v>0</v>
      </c>
      <c r="V35" s="12">
        <v>0</v>
      </c>
      <c r="W35" s="12">
        <v>0</v>
      </c>
      <c r="X35" s="12">
        <v>0</v>
      </c>
      <c r="Y35" s="12">
        <v>0</v>
      </c>
      <c r="Z35" s="12">
        <v>0</v>
      </c>
      <c r="AA35" s="12">
        <f>-5625*0.8</f>
        <v>-4500</v>
      </c>
      <c r="AB35" s="12">
        <f t="shared" si="6"/>
        <v>-37500</v>
      </c>
    </row>
    <row r="36" spans="1:28" ht="15.75">
      <c r="A36" s="13" t="s">
        <v>30</v>
      </c>
      <c r="B36" s="12">
        <v>0</v>
      </c>
      <c r="C36" s="12">
        <v>0</v>
      </c>
      <c r="D36" s="12">
        <v>0</v>
      </c>
      <c r="E36" s="12">
        <v>0</v>
      </c>
      <c r="F36" s="12">
        <v>0</v>
      </c>
      <c r="G36" s="12">
        <v>0</v>
      </c>
      <c r="H36" s="12">
        <v>0</v>
      </c>
      <c r="I36" s="12">
        <v>0</v>
      </c>
      <c r="J36" s="12">
        <v>0</v>
      </c>
      <c r="K36" s="12">
        <v>0</v>
      </c>
      <c r="L36" s="12">
        <v>0</v>
      </c>
      <c r="M36" s="12">
        <v>0</v>
      </c>
      <c r="N36" s="12">
        <v>0</v>
      </c>
      <c r="O36" s="12">
        <v>0</v>
      </c>
      <c r="P36" s="12">
        <v>0</v>
      </c>
      <c r="Q36" s="12">
        <v>0</v>
      </c>
      <c r="R36" s="12">
        <v>0</v>
      </c>
      <c r="S36" s="12">
        <v>0</v>
      </c>
      <c r="T36" s="12">
        <v>0</v>
      </c>
      <c r="U36" s="12">
        <v>0</v>
      </c>
      <c r="V36" s="12">
        <v>0</v>
      </c>
      <c r="W36" s="12">
        <v>0</v>
      </c>
      <c r="X36" s="12">
        <v>0</v>
      </c>
      <c r="Y36" s="12">
        <v>0</v>
      </c>
      <c r="Z36" s="12">
        <v>0</v>
      </c>
      <c r="AA36" s="12">
        <v>0</v>
      </c>
      <c r="AB36" s="12">
        <f t="shared" si="6"/>
        <v>0</v>
      </c>
    </row>
    <row r="37" spans="1:28" ht="15.75">
      <c r="A37" s="13" t="s">
        <v>38</v>
      </c>
      <c r="B37" s="12">
        <v>-250</v>
      </c>
      <c r="C37" s="12">
        <v>-250</v>
      </c>
      <c r="D37" s="12">
        <v>-250</v>
      </c>
      <c r="E37" s="12">
        <v>-250</v>
      </c>
      <c r="F37" s="12">
        <f>-350-200</f>
        <v>-550</v>
      </c>
      <c r="G37" s="12">
        <f aca="true" t="shared" si="7" ref="G37:AA37">-350-200</f>
        <v>-550</v>
      </c>
      <c r="H37" s="12">
        <f t="shared" si="7"/>
        <v>-550</v>
      </c>
      <c r="I37" s="12">
        <f t="shared" si="7"/>
        <v>-550</v>
      </c>
      <c r="J37" s="12">
        <f t="shared" si="7"/>
        <v>-550</v>
      </c>
      <c r="K37" s="12">
        <f t="shared" si="7"/>
        <v>-550</v>
      </c>
      <c r="L37" s="12">
        <f t="shared" si="7"/>
        <v>-550</v>
      </c>
      <c r="M37" s="12">
        <f t="shared" si="7"/>
        <v>-550</v>
      </c>
      <c r="N37" s="12">
        <f t="shared" si="7"/>
        <v>-550</v>
      </c>
      <c r="O37" s="12">
        <f t="shared" si="7"/>
        <v>-550</v>
      </c>
      <c r="P37" s="12">
        <f t="shared" si="7"/>
        <v>-550</v>
      </c>
      <c r="Q37" s="12">
        <f t="shared" si="7"/>
        <v>-550</v>
      </c>
      <c r="R37" s="12">
        <f t="shared" si="7"/>
        <v>-550</v>
      </c>
      <c r="S37" s="12">
        <f t="shared" si="7"/>
        <v>-550</v>
      </c>
      <c r="T37" s="12">
        <f t="shared" si="7"/>
        <v>-550</v>
      </c>
      <c r="U37" s="12">
        <f t="shared" si="7"/>
        <v>-550</v>
      </c>
      <c r="V37" s="12">
        <f t="shared" si="7"/>
        <v>-550</v>
      </c>
      <c r="W37" s="12">
        <f t="shared" si="7"/>
        <v>-550</v>
      </c>
      <c r="X37" s="12">
        <f t="shared" si="7"/>
        <v>-550</v>
      </c>
      <c r="Y37" s="12">
        <f t="shared" si="7"/>
        <v>-550</v>
      </c>
      <c r="Z37" s="12">
        <f t="shared" si="7"/>
        <v>-550</v>
      </c>
      <c r="AA37" s="12">
        <f t="shared" si="7"/>
        <v>-550</v>
      </c>
      <c r="AB37" s="12">
        <f t="shared" si="6"/>
        <v>-13100</v>
      </c>
    </row>
    <row r="38" spans="1:28" ht="15.75">
      <c r="A38" s="13" t="s">
        <v>39</v>
      </c>
      <c r="B38" s="12">
        <f aca="true" t="shared" si="8" ref="B38:AA38">SUM(B17:B35)*0.25</f>
        <v>-244</v>
      </c>
      <c r="C38" s="12">
        <f t="shared" si="8"/>
        <v>-7625</v>
      </c>
      <c r="D38" s="12">
        <f t="shared" si="8"/>
        <v>-6571.2</v>
      </c>
      <c r="E38" s="12">
        <f t="shared" si="8"/>
        <v>-1000.8000000000001</v>
      </c>
      <c r="F38" s="12">
        <f t="shared" si="8"/>
        <v>-1340</v>
      </c>
      <c r="G38" s="12">
        <f t="shared" si="8"/>
        <v>-78365</v>
      </c>
      <c r="H38" s="12">
        <f t="shared" si="8"/>
        <v>-58925</v>
      </c>
      <c r="I38" s="12">
        <f t="shared" si="8"/>
        <v>-940</v>
      </c>
      <c r="J38" s="12">
        <f t="shared" si="8"/>
        <v>-229670</v>
      </c>
      <c r="K38" s="12">
        <f t="shared" si="8"/>
        <v>-229190</v>
      </c>
      <c r="L38" s="12">
        <f t="shared" si="8"/>
        <v>-229075</v>
      </c>
      <c r="M38" s="12">
        <f t="shared" si="8"/>
        <v>-229405</v>
      </c>
      <c r="N38" s="12">
        <f t="shared" si="8"/>
        <v>-230259</v>
      </c>
      <c r="O38" s="12">
        <f t="shared" si="8"/>
        <v>-230786.66666666666</v>
      </c>
      <c r="P38" s="12">
        <f t="shared" si="8"/>
        <v>-229531</v>
      </c>
      <c r="Q38" s="12">
        <f t="shared" si="8"/>
        <v>-231458.46666666667</v>
      </c>
      <c r="R38" s="12">
        <f t="shared" si="8"/>
        <v>-229945</v>
      </c>
      <c r="S38" s="12">
        <f t="shared" si="8"/>
        <v>-230106.5</v>
      </c>
      <c r="T38" s="12">
        <f t="shared" si="8"/>
        <v>-229856.5</v>
      </c>
      <c r="U38" s="12">
        <f t="shared" si="8"/>
        <v>-230734.66666666666</v>
      </c>
      <c r="V38" s="12">
        <f t="shared" si="8"/>
        <v>-36741</v>
      </c>
      <c r="W38" s="12">
        <f t="shared" si="8"/>
        <v>-1061.6666666666665</v>
      </c>
      <c r="X38" s="12">
        <f t="shared" si="8"/>
        <v>-895</v>
      </c>
      <c r="Y38" s="12">
        <f t="shared" si="8"/>
        <v>-1061.6666666666665</v>
      </c>
      <c r="Z38" s="12">
        <f t="shared" si="8"/>
        <v>-1785</v>
      </c>
      <c r="AA38" s="12">
        <f t="shared" si="8"/>
        <v>-2186.6666666666665</v>
      </c>
      <c r="AB38" s="12">
        <f t="shared" si="6"/>
        <v>-2958759.7999999993</v>
      </c>
    </row>
    <row r="39" spans="1:28" ht="16.5" thickBot="1">
      <c r="A39" s="13" t="s">
        <v>43</v>
      </c>
      <c r="B39" s="12">
        <v>0</v>
      </c>
      <c r="C39" s="12">
        <v>0</v>
      </c>
      <c r="D39" s="12">
        <v>0</v>
      </c>
      <c r="E39" s="12">
        <v>0</v>
      </c>
      <c r="F39" s="12">
        <v>0</v>
      </c>
      <c r="G39" s="12">
        <v>0</v>
      </c>
      <c r="H39" s="12">
        <v>0</v>
      </c>
      <c r="I39" s="12">
        <f aca="true" t="shared" si="9" ref="I39:AA39">IF(G13+G38&gt;0,-(G13+G38),0)</f>
        <v>0</v>
      </c>
      <c r="J39" s="12">
        <f t="shared" si="9"/>
        <v>0</v>
      </c>
      <c r="K39" s="12">
        <f t="shared" si="9"/>
        <v>0</v>
      </c>
      <c r="L39" s="12">
        <f t="shared" si="9"/>
        <v>-52330</v>
      </c>
      <c r="M39" s="12">
        <f t="shared" si="9"/>
        <v>0</v>
      </c>
      <c r="N39" s="12">
        <f t="shared" si="9"/>
        <v>0</v>
      </c>
      <c r="O39" s="12">
        <f t="shared" si="9"/>
        <v>0</v>
      </c>
      <c r="P39" s="12">
        <f t="shared" si="9"/>
        <v>0</v>
      </c>
      <c r="Q39" s="12">
        <f t="shared" si="9"/>
        <v>0</v>
      </c>
      <c r="R39" s="12">
        <f t="shared" si="9"/>
        <v>0</v>
      </c>
      <c r="S39" s="12">
        <f t="shared" si="9"/>
        <v>0</v>
      </c>
      <c r="T39" s="12">
        <f t="shared" si="9"/>
        <v>0</v>
      </c>
      <c r="U39" s="12">
        <f t="shared" si="9"/>
        <v>0</v>
      </c>
      <c r="V39" s="12">
        <f t="shared" si="9"/>
        <v>0</v>
      </c>
      <c r="W39" s="12">
        <f t="shared" si="9"/>
        <v>0</v>
      </c>
      <c r="X39" s="12">
        <f t="shared" si="9"/>
        <v>0</v>
      </c>
      <c r="Y39" s="12">
        <f t="shared" si="9"/>
        <v>0</v>
      </c>
      <c r="Z39" s="12">
        <f t="shared" si="9"/>
        <v>0</v>
      </c>
      <c r="AA39" s="12">
        <f t="shared" si="9"/>
        <v>0</v>
      </c>
      <c r="AB39" s="12">
        <f t="shared" si="6"/>
        <v>-52330</v>
      </c>
    </row>
    <row r="40" spans="1:28" s="20" customFormat="1" ht="15.75" thickBot="1">
      <c r="A40" s="18" t="s">
        <v>31</v>
      </c>
      <c r="B40" s="19">
        <f aca="true" t="shared" si="10" ref="B40:AA40">SUM(B17:B39)</f>
        <v>-1470</v>
      </c>
      <c r="C40" s="19">
        <f t="shared" si="10"/>
        <v>-38375</v>
      </c>
      <c r="D40" s="19">
        <f t="shared" si="10"/>
        <v>-33106</v>
      </c>
      <c r="E40" s="19">
        <f t="shared" si="10"/>
        <v>-5254.000000000001</v>
      </c>
      <c r="F40" s="19">
        <f t="shared" si="10"/>
        <v>-7250</v>
      </c>
      <c r="G40" s="19">
        <f t="shared" si="10"/>
        <v>-392375</v>
      </c>
      <c r="H40" s="19">
        <f t="shared" si="10"/>
        <v>-295175</v>
      </c>
      <c r="I40" s="19">
        <f t="shared" si="10"/>
        <v>-5250</v>
      </c>
      <c r="J40" s="19">
        <f t="shared" si="10"/>
        <v>-1148900</v>
      </c>
      <c r="K40" s="19">
        <f t="shared" si="10"/>
        <v>-1146500</v>
      </c>
      <c r="L40" s="19">
        <f t="shared" si="10"/>
        <v>-1198255</v>
      </c>
      <c r="M40" s="19">
        <f t="shared" si="10"/>
        <v>-1147575</v>
      </c>
      <c r="N40" s="19">
        <f t="shared" si="10"/>
        <v>-1151845</v>
      </c>
      <c r="O40" s="19">
        <f t="shared" si="10"/>
        <v>-1154483.3333333333</v>
      </c>
      <c r="P40" s="19">
        <f t="shared" si="10"/>
        <v>-1148205</v>
      </c>
      <c r="Q40" s="19">
        <f t="shared" si="10"/>
        <v>-1157842.3333333335</v>
      </c>
      <c r="R40" s="19">
        <f t="shared" si="10"/>
        <v>-1150275</v>
      </c>
      <c r="S40" s="19">
        <f t="shared" si="10"/>
        <v>-1151082.5</v>
      </c>
      <c r="T40" s="19">
        <f t="shared" si="10"/>
        <v>-1149832.5</v>
      </c>
      <c r="U40" s="19">
        <f t="shared" si="10"/>
        <v>-1154223.3333333333</v>
      </c>
      <c r="V40" s="19">
        <f t="shared" si="10"/>
        <v>-184255</v>
      </c>
      <c r="W40" s="19">
        <f t="shared" si="10"/>
        <v>-5858.333333333332</v>
      </c>
      <c r="X40" s="19">
        <f t="shared" si="10"/>
        <v>-5025</v>
      </c>
      <c r="Y40" s="19">
        <f t="shared" si="10"/>
        <v>-5858.333333333332</v>
      </c>
      <c r="Z40" s="19">
        <f t="shared" si="10"/>
        <v>-9475</v>
      </c>
      <c r="AA40" s="19">
        <f t="shared" si="10"/>
        <v>-11483.333333333332</v>
      </c>
      <c r="AB40" s="19"/>
    </row>
    <row r="41" spans="1:28" s="20" customFormat="1" ht="15">
      <c r="A41" s="18" t="s">
        <v>33</v>
      </c>
      <c r="B41" s="19">
        <f>B4+B15+B40</f>
        <v>-1470</v>
      </c>
      <c r="C41" s="19">
        <f>C4+C15+C40</f>
        <v>-36905</v>
      </c>
      <c r="D41" s="19">
        <f>D4+D15+D40</f>
        <v>32495</v>
      </c>
      <c r="E41" s="19">
        <f aca="true" t="shared" si="11" ref="E41:AA41">D41+E15+E40</f>
        <v>28241</v>
      </c>
      <c r="F41" s="19">
        <f t="shared" si="11"/>
        <v>280991</v>
      </c>
      <c r="G41" s="19">
        <f t="shared" si="11"/>
        <v>148616</v>
      </c>
      <c r="H41" s="19">
        <f t="shared" si="11"/>
        <v>175941</v>
      </c>
      <c r="I41" s="19">
        <f t="shared" si="11"/>
        <v>379056</v>
      </c>
      <c r="J41" s="19">
        <f t="shared" si="11"/>
        <v>2114681</v>
      </c>
      <c r="K41" s="19">
        <f t="shared" si="11"/>
        <v>2269121</v>
      </c>
      <c r="L41" s="19">
        <f t="shared" si="11"/>
        <v>1070866</v>
      </c>
      <c r="M41" s="19">
        <f t="shared" si="11"/>
        <v>602481</v>
      </c>
      <c r="N41" s="19">
        <f t="shared" si="11"/>
        <v>1002211</v>
      </c>
      <c r="O41" s="19">
        <f t="shared" si="11"/>
        <v>1724632.6666666667</v>
      </c>
      <c r="P41" s="19">
        <f t="shared" si="11"/>
        <v>1116686.666666667</v>
      </c>
      <c r="Q41" s="19">
        <f t="shared" si="11"/>
        <v>1541631.0000000005</v>
      </c>
      <c r="R41" s="19">
        <f t="shared" si="11"/>
        <v>2090887.0000000005</v>
      </c>
      <c r="S41" s="19">
        <f t="shared" si="11"/>
        <v>1465012.9666666673</v>
      </c>
      <c r="T41" s="19">
        <f t="shared" si="11"/>
        <v>780125.4666666673</v>
      </c>
      <c r="U41" s="19">
        <f t="shared" si="11"/>
        <v>267258.633333334</v>
      </c>
      <c r="V41" s="19">
        <f t="shared" si="11"/>
        <v>444460.133333334</v>
      </c>
      <c r="W41" s="19">
        <f t="shared" si="11"/>
        <v>669336.4666666673</v>
      </c>
      <c r="X41" s="19">
        <f t="shared" si="11"/>
        <v>674732.4666666673</v>
      </c>
      <c r="Y41" s="19">
        <f t="shared" si="11"/>
        <v>669935.8000000005</v>
      </c>
      <c r="Z41" s="19">
        <f t="shared" si="11"/>
        <v>792955.8000000005</v>
      </c>
      <c r="AA41" s="19">
        <f t="shared" si="11"/>
        <v>782534.1333333338</v>
      </c>
      <c r="AB41" s="19"/>
    </row>
    <row r="42" ht="12">
      <c r="B42" s="2" t="s">
        <v>68</v>
      </c>
    </row>
    <row r="43" spans="1:2" ht="15">
      <c r="A43" s="13" t="s">
        <v>52</v>
      </c>
      <c r="B43" s="25">
        <v>400</v>
      </c>
    </row>
    <row r="44" spans="1:2" ht="15">
      <c r="A44" s="13" t="s">
        <v>53</v>
      </c>
      <c r="B44" s="25">
        <v>50</v>
      </c>
    </row>
    <row r="45" spans="1:2" ht="15">
      <c r="A45" s="13" t="s">
        <v>54</v>
      </c>
      <c r="B45" s="25">
        <v>20</v>
      </c>
    </row>
    <row r="46" spans="1:2" ht="15">
      <c r="A46" s="13" t="s">
        <v>64</v>
      </c>
      <c r="B46" s="25">
        <v>70</v>
      </c>
    </row>
    <row r="47" spans="1:2" ht="15">
      <c r="A47" s="13" t="s">
        <v>55</v>
      </c>
      <c r="B47" s="25">
        <v>2500</v>
      </c>
    </row>
    <row r="48" spans="1:2" ht="15">
      <c r="A48" s="13" t="s">
        <v>57</v>
      </c>
      <c r="B48" s="25">
        <v>6500</v>
      </c>
    </row>
    <row r="49" spans="1:2" ht="15">
      <c r="A49" s="13" t="s">
        <v>44</v>
      </c>
      <c r="B49" s="25">
        <v>6500</v>
      </c>
    </row>
    <row r="50" spans="1:2" ht="15">
      <c r="A50" s="13" t="s">
        <v>58</v>
      </c>
      <c r="B50" s="25">
        <v>6000</v>
      </c>
    </row>
    <row r="51" spans="1:2" ht="15">
      <c r="A51" s="13" t="s">
        <v>59</v>
      </c>
      <c r="B51" s="25">
        <v>2000</v>
      </c>
    </row>
    <row r="52" spans="1:2" ht="30">
      <c r="A52" s="24" t="s">
        <v>60</v>
      </c>
      <c r="B52" s="26">
        <f>SUM(B47:B50)+B51*1.25</f>
        <v>24000</v>
      </c>
    </row>
    <row r="53" spans="1:2" ht="15">
      <c r="A53" s="13" t="s">
        <v>62</v>
      </c>
      <c r="B53" s="26">
        <f>(AB6+AB8*1.25)/SUM(B43:B45)</f>
        <v>24000</v>
      </c>
    </row>
    <row r="54" spans="1:3" ht="15">
      <c r="A54" s="13" t="s">
        <v>85</v>
      </c>
      <c r="B54" s="27">
        <f>(AA41-100000)/SUM(B43:B45)</f>
        <v>1452.2002836879442</v>
      </c>
      <c r="C54" s="2" t="s">
        <v>91</v>
      </c>
    </row>
    <row r="55" spans="1:2" ht="30">
      <c r="A55" s="24" t="s">
        <v>61</v>
      </c>
      <c r="B55" s="25">
        <f>B53-B54</f>
        <v>22547.799716312056</v>
      </c>
    </row>
  </sheetData>
  <sheetProtection/>
  <printOptions gridLines="1"/>
  <pageMargins left="0.7500000000000001" right="0.7500000000000001" top="1" bottom="0.21999999999999997" header="0.5" footer="0.10999999999999999"/>
  <pageSetup blackAndWhite="1" fitToHeight="0" fitToWidth="2" orientation="landscape" paperSize="9" scale="62"/>
  <headerFooter alignWithMargins="0">
    <oddHeader>&amp;L&amp;"Times New Roman,Normal"&amp;12&amp;K000000Länghem landsbygd fiber ek. för.
&amp;"Times New Roman,Fet"&amp;14Likviditetsbudget 2015/2016&amp;C&amp;"Times New Roman,Normal"&amp;12&amp;K000000Utskriven &amp;D&amp;R&amp;"Times New Roman,Normal"&amp;12&amp;K000000Sid: &amp;P(&amp;N)</oddHeader>
  </headerFooter>
  <rowBreaks count="1" manualBreakCount="1">
    <brk id="40" max="255"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G30"/>
  <sheetViews>
    <sheetView showZeros="0" workbookViewId="0" topLeftCell="A1">
      <selection activeCell="G20" sqref="G20"/>
    </sheetView>
  </sheetViews>
  <sheetFormatPr defaultColWidth="8.8515625" defaultRowHeight="12.75"/>
  <cols>
    <col min="1" max="1" width="22.00390625" style="21" customWidth="1"/>
    <col min="2" max="2" width="11.140625" style="2" customWidth="1"/>
    <col min="3" max="3" width="12.28125" style="2" customWidth="1"/>
    <col min="4" max="4" width="3.00390625" style="2" customWidth="1"/>
    <col min="5" max="5" width="12.421875" style="2" customWidth="1"/>
    <col min="6" max="6" width="11.140625" style="2" customWidth="1"/>
    <col min="7" max="7" width="42.140625" style="2" customWidth="1"/>
    <col min="8" max="16384" width="8.8515625" style="2" customWidth="1"/>
  </cols>
  <sheetData>
    <row r="1" spans="1:7" ht="93.75" customHeight="1">
      <c r="A1" s="49" t="s">
        <v>98</v>
      </c>
      <c r="B1" s="49"/>
      <c r="C1" s="49"/>
      <c r="D1" s="49"/>
      <c r="E1" s="49"/>
      <c r="F1" s="49"/>
      <c r="G1" s="49"/>
    </row>
    <row r="2" spans="2:6" ht="15">
      <c r="B2" s="48" t="s">
        <v>81</v>
      </c>
      <c r="C2" s="48"/>
      <c r="D2" s="29"/>
      <c r="E2" s="48" t="s">
        <v>80</v>
      </c>
      <c r="F2" s="48"/>
    </row>
    <row r="3" spans="1:7" s="35" customFormat="1" ht="15.75" thickBot="1">
      <c r="A3" s="40" t="s">
        <v>69</v>
      </c>
      <c r="B3" s="41" t="s">
        <v>70</v>
      </c>
      <c r="C3" s="41" t="s">
        <v>71</v>
      </c>
      <c r="D3" s="41"/>
      <c r="E3" s="41" t="s">
        <v>70</v>
      </c>
      <c r="F3" s="41" t="s">
        <v>71</v>
      </c>
      <c r="G3" s="41" t="s">
        <v>72</v>
      </c>
    </row>
    <row r="4" spans="1:7" s="1" customFormat="1" ht="15">
      <c r="A4" s="39">
        <v>42125</v>
      </c>
      <c r="B4" s="37">
        <f>2500+100</f>
        <v>2600</v>
      </c>
      <c r="C4" s="37">
        <f>2500+100</f>
        <v>2600</v>
      </c>
      <c r="D4" s="37"/>
      <c r="E4" s="37">
        <f>2500+100</f>
        <v>2600</v>
      </c>
      <c r="F4" s="37">
        <f>2500+100</f>
        <v>2600</v>
      </c>
      <c r="G4" s="1" t="s">
        <v>94</v>
      </c>
    </row>
    <row r="5" spans="1:6" s="1" customFormat="1" ht="15">
      <c r="A5" s="39">
        <v>42156</v>
      </c>
      <c r="B5" s="37">
        <v>0</v>
      </c>
      <c r="C5" s="37">
        <v>0</v>
      </c>
      <c r="D5" s="37"/>
      <c r="E5" s="37">
        <v>0</v>
      </c>
      <c r="F5" s="37">
        <v>0</v>
      </c>
    </row>
    <row r="6" spans="1:6" s="1" customFormat="1" ht="15">
      <c r="A6" s="39">
        <v>42186</v>
      </c>
      <c r="B6" s="37">
        <v>0</v>
      </c>
      <c r="C6" s="37">
        <v>0</v>
      </c>
      <c r="D6" s="37"/>
      <c r="E6" s="37">
        <v>0</v>
      </c>
      <c r="F6" s="37">
        <v>0</v>
      </c>
    </row>
    <row r="7" spans="1:6" s="1" customFormat="1" ht="15">
      <c r="A7" s="39">
        <v>42217</v>
      </c>
      <c r="B7" s="37">
        <v>0</v>
      </c>
      <c r="C7" s="37">
        <v>0</v>
      </c>
      <c r="D7" s="37"/>
      <c r="E7" s="37">
        <v>0</v>
      </c>
      <c r="F7" s="37">
        <v>0</v>
      </c>
    </row>
    <row r="8" spans="1:6" s="1" customFormat="1" ht="15">
      <c r="A8" s="39">
        <v>42248</v>
      </c>
      <c r="B8" s="37">
        <v>0</v>
      </c>
      <c r="C8" s="37">
        <v>0</v>
      </c>
      <c r="D8" s="37"/>
      <c r="E8" s="37">
        <v>0</v>
      </c>
      <c r="F8" s="37">
        <v>0</v>
      </c>
    </row>
    <row r="9" spans="1:6" s="1" customFormat="1" ht="15">
      <c r="A9" s="39">
        <v>42278</v>
      </c>
      <c r="B9" s="37">
        <v>0</v>
      </c>
      <c r="C9" s="37">
        <v>0</v>
      </c>
      <c r="D9" s="37"/>
      <c r="E9" s="37">
        <v>0</v>
      </c>
      <c r="F9" s="37">
        <v>0</v>
      </c>
    </row>
    <row r="10" spans="1:6" s="1" customFormat="1" ht="15">
      <c r="A10" s="39">
        <v>42309</v>
      </c>
      <c r="B10" s="37">
        <v>0</v>
      </c>
      <c r="C10" s="37">
        <v>0</v>
      </c>
      <c r="D10" s="37"/>
      <c r="E10" s="37">
        <v>0</v>
      </c>
      <c r="F10" s="37">
        <v>0</v>
      </c>
    </row>
    <row r="11" spans="1:6" s="1" customFormat="1" ht="15">
      <c r="A11" s="39">
        <v>42339</v>
      </c>
      <c r="B11" s="37">
        <v>0</v>
      </c>
      <c r="C11" s="37">
        <v>0</v>
      </c>
      <c r="D11" s="37"/>
      <c r="E11" s="37">
        <v>0</v>
      </c>
      <c r="F11" s="37">
        <v>0</v>
      </c>
    </row>
    <row r="12" spans="1:7" s="1" customFormat="1" ht="15">
      <c r="A12" s="39">
        <v>42370</v>
      </c>
      <c r="B12" s="37">
        <v>6500</v>
      </c>
      <c r="C12" s="37">
        <v>7000</v>
      </c>
      <c r="D12" s="37"/>
      <c r="E12" s="37">
        <v>6500</v>
      </c>
      <c r="F12" s="37">
        <v>6500</v>
      </c>
      <c r="G12" s="1" t="s">
        <v>96</v>
      </c>
    </row>
    <row r="13" spans="1:6" s="1" customFormat="1" ht="15">
      <c r="A13" s="39">
        <v>42401</v>
      </c>
      <c r="B13" s="37">
        <v>0</v>
      </c>
      <c r="C13" s="37">
        <v>0</v>
      </c>
      <c r="D13" s="37"/>
      <c r="E13" s="37">
        <v>0</v>
      </c>
      <c r="F13" s="37">
        <v>0</v>
      </c>
    </row>
    <row r="14" spans="1:6" s="1" customFormat="1" ht="15">
      <c r="A14" s="39">
        <v>42430</v>
      </c>
      <c r="B14" s="37">
        <v>0</v>
      </c>
      <c r="C14" s="37">
        <v>0</v>
      </c>
      <c r="D14" s="37"/>
      <c r="E14" s="37">
        <v>0</v>
      </c>
      <c r="F14" s="37">
        <v>0</v>
      </c>
    </row>
    <row r="15" spans="1:6" s="1" customFormat="1" ht="15">
      <c r="A15" s="39">
        <v>42461</v>
      </c>
      <c r="B15" s="37">
        <v>0</v>
      </c>
      <c r="C15" s="37">
        <v>0</v>
      </c>
      <c r="D15" s="37"/>
      <c r="E15" s="37">
        <v>0</v>
      </c>
      <c r="F15" s="37">
        <v>0</v>
      </c>
    </row>
    <row r="16" spans="1:7" s="1" customFormat="1" ht="15">
      <c r="A16" s="39">
        <v>42491</v>
      </c>
      <c r="B16" s="37">
        <v>5000</v>
      </c>
      <c r="C16" s="37">
        <v>7000</v>
      </c>
      <c r="D16" s="37"/>
      <c r="E16" s="37">
        <v>5000</v>
      </c>
      <c r="F16" s="37">
        <v>6500</v>
      </c>
      <c r="G16" s="1" t="s">
        <v>73</v>
      </c>
    </row>
    <row r="17" spans="1:6" s="1" customFormat="1" ht="15">
      <c r="A17" s="39">
        <v>42522</v>
      </c>
      <c r="B17" s="37">
        <v>0</v>
      </c>
      <c r="C17" s="37">
        <v>0</v>
      </c>
      <c r="D17" s="37"/>
      <c r="E17" s="37">
        <v>0</v>
      </c>
      <c r="F17" s="37">
        <v>0</v>
      </c>
    </row>
    <row r="18" spans="1:6" s="1" customFormat="1" ht="15">
      <c r="A18" s="39">
        <v>42552</v>
      </c>
      <c r="B18" s="37">
        <v>0</v>
      </c>
      <c r="C18" s="37">
        <v>0</v>
      </c>
      <c r="D18" s="37"/>
      <c r="E18" s="37">
        <v>0</v>
      </c>
      <c r="F18" s="37">
        <v>0</v>
      </c>
    </row>
    <row r="19" spans="1:7" s="1" customFormat="1" ht="15">
      <c r="A19" s="39">
        <v>42583</v>
      </c>
      <c r="B19" s="37">
        <v>3000</v>
      </c>
      <c r="C19" s="37">
        <v>7500</v>
      </c>
      <c r="D19" s="37"/>
      <c r="E19" s="37">
        <v>3000</v>
      </c>
      <c r="F19" s="37">
        <v>6000</v>
      </c>
      <c r="G19" s="1" t="s">
        <v>74</v>
      </c>
    </row>
    <row r="20" spans="1:7" s="1" customFormat="1" ht="15">
      <c r="A20" s="39">
        <v>42614</v>
      </c>
      <c r="B20" s="37">
        <v>100</v>
      </c>
      <c r="C20" s="37">
        <v>100</v>
      </c>
      <c r="D20" s="37"/>
      <c r="E20" s="37">
        <v>100</v>
      </c>
      <c r="F20" s="37">
        <v>100</v>
      </c>
      <c r="G20" s="1" t="s">
        <v>78</v>
      </c>
    </row>
    <row r="21" spans="1:7" s="1" customFormat="1" ht="15">
      <c r="A21" s="39">
        <v>42644</v>
      </c>
      <c r="B21" s="37">
        <f>2000*1.25</f>
        <v>2500</v>
      </c>
      <c r="C21" s="37">
        <v>2500</v>
      </c>
      <c r="D21" s="37"/>
      <c r="E21" s="37">
        <f>2000*1.25</f>
        <v>2500</v>
      </c>
      <c r="F21" s="37">
        <v>2500</v>
      </c>
      <c r="G21" s="1" t="s">
        <v>75</v>
      </c>
    </row>
    <row r="22" spans="1:6" s="1" customFormat="1" ht="15">
      <c r="A22" s="39">
        <v>42675</v>
      </c>
      <c r="B22" s="37">
        <v>0</v>
      </c>
      <c r="C22" s="37">
        <v>0</v>
      </c>
      <c r="D22" s="37"/>
      <c r="E22" s="37">
        <v>0</v>
      </c>
      <c r="F22" s="37">
        <v>0</v>
      </c>
    </row>
    <row r="23" spans="1:6" s="1" customFormat="1" ht="15">
      <c r="A23" s="39">
        <v>42705</v>
      </c>
      <c r="B23" s="37">
        <v>0</v>
      </c>
      <c r="C23" s="37">
        <v>0</v>
      </c>
      <c r="D23" s="37"/>
      <c r="E23" s="37">
        <v>0</v>
      </c>
      <c r="F23" s="37">
        <v>0</v>
      </c>
    </row>
    <row r="24" spans="1:7" s="1" customFormat="1" ht="15.75" thickBot="1">
      <c r="A24" s="39">
        <v>42736</v>
      </c>
      <c r="B24" s="37">
        <f>70*4</f>
        <v>280</v>
      </c>
      <c r="C24" s="37">
        <f>70*4</f>
        <v>280</v>
      </c>
      <c r="D24" s="37"/>
      <c r="E24" s="37">
        <f>70*4</f>
        <v>280</v>
      </c>
      <c r="F24" s="37">
        <f>70*4</f>
        <v>280</v>
      </c>
      <c r="G24" s="1" t="s">
        <v>95</v>
      </c>
    </row>
    <row r="25" spans="1:6" s="47" customFormat="1" ht="15">
      <c r="A25" s="45" t="s">
        <v>92</v>
      </c>
      <c r="B25" s="46">
        <f>SUM(B4:B20)-(B4-2500)-B20</f>
        <v>17000</v>
      </c>
      <c r="C25" s="46">
        <f>SUM(C4:C20)-(C4-2500)-C20</f>
        <v>24000</v>
      </c>
      <c r="D25" s="46"/>
      <c r="E25" s="46">
        <f>SUM(E4:E20)-(E4-2500)-E20</f>
        <v>17000</v>
      </c>
      <c r="F25" s="46">
        <f>SUM(F4:F20)-(F4-2500)-F20</f>
        <v>21500</v>
      </c>
    </row>
    <row r="26" spans="1:7" s="1" customFormat="1" ht="15">
      <c r="A26" s="36" t="s">
        <v>76</v>
      </c>
      <c r="B26" s="37">
        <f>B21</f>
        <v>2500</v>
      </c>
      <c r="C26" s="37">
        <f>C21</f>
        <v>2500</v>
      </c>
      <c r="D26" s="37"/>
      <c r="E26" s="37">
        <f>E21</f>
        <v>2500</v>
      </c>
      <c r="F26" s="37">
        <f>F21</f>
        <v>2500</v>
      </c>
      <c r="G26" s="1" t="s">
        <v>77</v>
      </c>
    </row>
    <row r="27" spans="1:6" s="1" customFormat="1" ht="15.75" thickBot="1">
      <c r="A27" s="36" t="s">
        <v>93</v>
      </c>
      <c r="B27" s="37">
        <v>-1700</v>
      </c>
      <c r="C27" s="37">
        <v>-1000</v>
      </c>
      <c r="D27" s="37"/>
      <c r="E27" s="37">
        <v>-2500</v>
      </c>
      <c r="F27" s="37">
        <v>-1400</v>
      </c>
    </row>
    <row r="28" spans="1:7" s="35" customFormat="1" ht="15">
      <c r="A28" s="42" t="s">
        <v>97</v>
      </c>
      <c r="B28" s="43">
        <f>SUM(B25:B27)</f>
        <v>17800</v>
      </c>
      <c r="C28" s="43">
        <f>SUM(C25:C27)</f>
        <v>25500</v>
      </c>
      <c r="D28" s="43"/>
      <c r="E28" s="43">
        <f>SUM(E25:E27)</f>
        <v>17000</v>
      </c>
      <c r="F28" s="43">
        <f>SUM(F25:F27)</f>
        <v>22600</v>
      </c>
      <c r="G28" s="44"/>
    </row>
    <row r="29" ht="12">
      <c r="A29" s="34"/>
    </row>
    <row r="30" ht="12">
      <c r="A30" s="34"/>
    </row>
  </sheetData>
  <sheetProtection/>
  <mergeCells count="3">
    <mergeCell ref="E2:F2"/>
    <mergeCell ref="B2:C2"/>
    <mergeCell ref="A1:G1"/>
  </mergeCells>
  <printOptions gridLines="1"/>
  <pageMargins left="0.7500000000000001" right="0.7500000000000001" top="1" bottom="0.21999999999999997" header="0.5" footer="0.10999999999999999"/>
  <pageSetup blackAndWhite="1" fitToHeight="0" fitToWidth="2" orientation="landscape" paperSize="9"/>
  <headerFooter alignWithMargins="0">
    <oddHeader>&amp;L&amp;"Times New Roman,Normal"&amp;12&amp;K000000Länghem landsbygd fiber ek. för.
&amp;"Times New Roman,Fet"Preliminär betalningsplan för medlemar, 2015/16&amp;C&amp;"Times New Roman,Normal"&amp;12&amp;K000000Utskriven &amp;D&amp;R&amp;"Times New Roman,Normal"&amp;12&amp;K000000Sid: &amp;P(&amp;N)</oddHead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Länghem landsbygd fiber ek. förening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Gösta Singstrand</dc:creator>
  <cp:keywords/>
  <dc:description/>
  <cp:lastModifiedBy>Lars Hedegård</cp:lastModifiedBy>
  <cp:lastPrinted>2015-05-01T07:55:03Z</cp:lastPrinted>
  <dcterms:created xsi:type="dcterms:W3CDTF">2010-09-01T14:44:44Z</dcterms:created>
  <dcterms:modified xsi:type="dcterms:W3CDTF">2015-05-04T20:02:12Z</dcterms:modified>
  <cp:category/>
  <cp:version/>
  <cp:contentType/>
  <cp:contentStatus/>
</cp:coreProperties>
</file>